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autoCompressPictures="0"/>
  <bookViews>
    <workbookView xWindow="225" yWindow="405" windowWidth="20730" windowHeight="11580" tabRatio="827"/>
  </bookViews>
  <sheets>
    <sheet name="Test In" sheetId="1" r:id="rId1"/>
    <sheet name="Findings Report" sheetId="17" r:id="rId2"/>
    <sheet name="Lists" sheetId="2" state="hidden" r:id="rId3"/>
    <sheet name="Quality Review EA" sheetId="19" r:id="rId4"/>
  </sheets>
  <definedNames>
    <definedName name="_xlnm._FilterDatabase" localSheetId="2" hidden="1">Lists!$Y$1:$Y$13</definedName>
    <definedName name="_xlnm._FilterDatabase" localSheetId="0" hidden="1">'Test In'!$B$183:$B$203</definedName>
    <definedName name="_QC1">Lists!$F$12:$F$16</definedName>
    <definedName name="_ys1">'Test In'!$K$220:$K$222</definedName>
    <definedName name="ac">Lists!$AG$1:$AG$5</definedName>
    <definedName name="airleakage">Lists!$O$1:$O$4</definedName>
    <definedName name="attic">Lists!$Z$1:$Z$7</definedName>
    <definedName name="attic1">Lists!$Z$1:$Z$8</definedName>
    <definedName name="attic2">Lists!$Z$1:$Z$9</definedName>
    <definedName name="attic3">Lists!$Z$15:$Z$19</definedName>
    <definedName name="attic4">Lists!$Z$1:$Z$10</definedName>
    <definedName name="baseload">Lists!$J$24:$J$37</definedName>
    <definedName name="basement">Lists!$P$1:$P$3</definedName>
    <definedName name="basement1">Lists!$P$1:$P$5</definedName>
    <definedName name="blasterring">Lists!$V$1:$V$4</definedName>
    <definedName name="buffer">Lists!$E$2:$E$8</definedName>
    <definedName name="buffer1">Lists!$E$2:$E$8</definedName>
    <definedName name="cavity">Lists!$AA$1:$AA$6</definedName>
    <definedName name="cazlimit">Lists!$AO$2:$AO$8</definedName>
    <definedName name="city">Lists!$A$15:$A$27</definedName>
    <definedName name="CO">Lists!$AN$1:$AN$9</definedName>
    <definedName name="conditionspace">Lists!$P$1:$P$2</definedName>
    <definedName name="construct">Lists!$C$1:$C$3</definedName>
    <definedName name="construct2">Lists!$D$1:$D$3</definedName>
    <definedName name="construction">Lists!$C$1:$C$2</definedName>
    <definedName name="construction2">Lists!$D$1:$D$2</definedName>
    <definedName name="contractors">Lists!$AD$1:$AD$13</definedName>
    <definedName name="contractors1">Lists!$AD$2:$AD$17</definedName>
    <definedName name="contractors2">Lists!$AD$1:$AD$17</definedName>
    <definedName name="Contractors3">Lists!$AD$1:$AD$29</definedName>
    <definedName name="cooling">Lists!$S$21:$S$24</definedName>
    <definedName name="crawlspace">Lists!$Q$1:$Q$3</definedName>
    <definedName name="crawlspace1">Lists!$Q$1:$Q$4</definedName>
    <definedName name="crawlspace2">Lists!$Q$1:$Q$5</definedName>
    <definedName name="crf">Lists!$Q$22:$Q$42</definedName>
    <definedName name="direction">Lists!$F$2:$F$5</definedName>
    <definedName name="direction1">Lists!$F$2:$F$6</definedName>
    <definedName name="disconnect">Lists!$AQ$1:$AQ$4</definedName>
    <definedName name="duct2">Lists!$W$1:$W$7</definedName>
    <definedName name="duct3">Lists!$W$15:$W$18</definedName>
    <definedName name="ductblaster">Lists!$U$1:$U$3</definedName>
    <definedName name="ductdist">Lists!$AP$1:$AP$6</definedName>
    <definedName name="ductdist2">Lists!$AP$1:$AP$8</definedName>
    <definedName name="ductinsulate">Lists!$W$1:$W$6</definedName>
    <definedName name="ductlocation">Lists!$X$15:$X$20</definedName>
    <definedName name="ductlocation2">Lists!$X$15:$X$21</definedName>
    <definedName name="ductpart">Lists!$AQ$1:$AQ$3</definedName>
    <definedName name="ducttype">Lists!$P$12:$P$17</definedName>
    <definedName name="ea">Lists!$AJ$1:$AJ$9</definedName>
    <definedName name="Electricutility">Lists!$I$12:$I$15</definedName>
    <definedName name="energyadvisor2">Lists!$AJ$1:$AJ$15</definedName>
    <definedName name="etoshell">Lists!$G$28:$G$35</definedName>
    <definedName name="fireplace">Lists!$H$1:$H$4</definedName>
    <definedName name="fireplace1">Lists!$H$1:$H$5</definedName>
    <definedName name="fireplace2">Lists!$H$1:$H$7</definedName>
    <definedName name="fireplace3">Lists!$H$1:$H$8</definedName>
    <definedName name="floor">Lists!$AK$1:$AK$8</definedName>
    <definedName name="floor2">Lists!$AK$1:$AK$10</definedName>
    <definedName name="flue">Lists!$AV$1:$AV$8</definedName>
    <definedName name="flue2">Lists!$AV$1:$AV$9</definedName>
    <definedName name="frame">Lists!$J$1:$J$3</definedName>
    <definedName name="frames">Lists!$L$1:$L$3</definedName>
    <definedName name="fuel">Lists!$G$1:$G$2</definedName>
    <definedName name="fuel1">Lists!$G$1:$G$3</definedName>
    <definedName name="fuel2">Lists!$G$1:$G$3</definedName>
    <definedName name="gasleak">Lists!$AS$1:$AS$9</definedName>
    <definedName name="gasutility">Lists!$H$12:$H$15</definedName>
    <definedName name="heat">Lists!$G$1:$G$5</definedName>
    <definedName name="heat2">Lists!$G$1:$G$6</definedName>
    <definedName name="heating5">Lists!$AC$11:$AC$13</definedName>
    <definedName name="inches">Lists!$AT$1:$AT$17</definedName>
    <definedName name="inches2">Lists!$AT$1:$AT$18</definedName>
    <definedName name="infiltration">Lists!$O$1:$O$3</definedName>
    <definedName name="insulation">Lists!$N$1:$N$4</definedName>
    <definedName name="insulation2">Lists!$Z$1:$Z$3</definedName>
    <definedName name="insulationtype">Lists!$Y$3:$Y$13</definedName>
    <definedName name="insulationtype2">Lists!$Y$3:$Y$14</definedName>
    <definedName name="joistrafter">Lists!$AA$3:$AA$9</definedName>
    <definedName name="leakiness">Lists!$D$28:$D$34</definedName>
    <definedName name="leaky">Lists!$D$29:$D$31</definedName>
    <definedName name="leaky3">Lists!$E$29:$E$32</definedName>
    <definedName name="location">Lists!$X$1:$X$8</definedName>
    <definedName name="location1">Lists!$X$1:$X$8</definedName>
    <definedName name="location2">Lists!$AN$1:$AN$10</definedName>
    <definedName name="location3">Lists!$AN$1:$AN$11</definedName>
    <definedName name="location4">Lists!$X$1:$X$9</definedName>
    <definedName name="mesh">'Test In'!$H$216:$H$219</definedName>
    <definedName name="mesh1">'Test In'!$K$215:$K$217</definedName>
    <definedName name="nonenergy">Lists!$G$50:$H$112</definedName>
    <definedName name="nonenergy1">Lists!$G$50:$G$112</definedName>
    <definedName name="nsew">Lists!$F$22:$F$26</definedName>
    <definedName name="number">Lists!$B$1:$B$11</definedName>
    <definedName name="numbers">Lists!$B$1:$B$10</definedName>
    <definedName name="oe">Lists!$AB$1:$AB$2</definedName>
    <definedName name="orientation">Lists!$F$2:$F$9</definedName>
    <definedName name="pane">Lists!$J$1:$J$3</definedName>
    <definedName name="panes">Lists!$L$1:$L$3</definedName>
    <definedName name="passfail">Lists!$E$12:$E$14</definedName>
    <definedName name="percent">Lists!$T$1:$T$8</definedName>
    <definedName name="percent1">Lists!$T$1:$T$9</definedName>
    <definedName name="pressure">Lists!$P$22:$P$42</definedName>
    <definedName name="_xlnm.Print_Area" localSheetId="3">'Quality Review EA'!$A$1:$M$299</definedName>
    <definedName name="_xlnm.Print_Area" localSheetId="0">'Test In'!$A$1:$M$293</definedName>
    <definedName name="qr">Lists!$N$12:$N$14</definedName>
    <definedName name="quality">Lists!$M$1:$M$3</definedName>
    <definedName name="quality1">Lists!$M$1:$M$4</definedName>
    <definedName name="quality2">Lists!$M$1:$M$5</definedName>
    <definedName name="reduction">Lists!$T$1:$T$7</definedName>
    <definedName name="ring">Lists!$S$1:$S$3</definedName>
    <definedName name="rlevel">Lists!$N$1:$N$3</definedName>
    <definedName name="roof">Lists!$AH$1:$AH$8</definedName>
    <definedName name="roof2">Lists!$AI$1:$AI$6</definedName>
    <definedName name="rooftype">Lists!$AI$1:$AI$8</definedName>
    <definedName name="rvalue">Lists!$AU$2:$AU$25</definedName>
    <definedName name="rvalue2">Lists!$AU$2:$AU$27</definedName>
    <definedName name="siding">Lists!$AF$1:$AF$7</definedName>
    <definedName name="siding1">Lists!$AF$1:$AF$9</definedName>
    <definedName name="siding2">Lists!$AF$1:$AF$10</definedName>
    <definedName name="solar">Lists!$C$12:$C$16</definedName>
    <definedName name="stories">Lists!$R$1:$R$6</definedName>
    <definedName name="story">Lists!$R$1:$R$5</definedName>
    <definedName name="tank">Lists!$AC$1:$AC$3</definedName>
    <definedName name="tank2">Lists!$AC$1:$AC$4</definedName>
    <definedName name="type">Lists!$AR$2:$AR$11</definedName>
    <definedName name="type1">Lists!$AR$2:$AR$14</definedName>
    <definedName name="type2">Lists!$AR$1:$AR$14</definedName>
    <definedName name="URA">Lists!$C$17:$C$20</definedName>
    <definedName name="usage">Lists!$C$22:$C$24</definedName>
    <definedName name="venting">Lists!$I$1:$I$6</definedName>
    <definedName name="vents">Lists!$I$1:$I$5</definedName>
    <definedName name="walls">Lists!$AL$1:$AL$8</definedName>
    <definedName name="walls2">Lists!$AL$1:$AL$9</definedName>
    <definedName name="waterheater5">Lists!$AC$6:$AC$9</definedName>
    <definedName name="window">Lists!$J$1:$J$4</definedName>
    <definedName name="Windows3">Lists!$J$1:$J$9</definedName>
    <definedName name="windowtype">Lists!$J$12:$J$22</definedName>
    <definedName name="yesno">Lists!$A$2:$A$5</definedName>
    <definedName name="yesno1">Lists!$A$2:$A$5</definedName>
    <definedName name="ys">'Test In'!$I$221:$I$222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C36" i="17" l="1"/>
  <c r="C35" i="17"/>
  <c r="C9" i="17"/>
  <c r="C33" i="17"/>
  <c r="C31" i="17"/>
  <c r="C32" i="17"/>
  <c r="F11" i="17"/>
  <c r="F36" i="17"/>
  <c r="F35" i="17"/>
  <c r="E36" i="17"/>
  <c r="D36" i="17"/>
  <c r="D35" i="17"/>
  <c r="E35" i="17"/>
  <c r="C34" i="17"/>
  <c r="F34" i="17" s="1"/>
  <c r="F33" i="17"/>
  <c r="F32" i="17"/>
  <c r="F31" i="17"/>
  <c r="F30" i="17"/>
  <c r="C30" i="17"/>
  <c r="F29" i="17"/>
  <c r="C29" i="17"/>
  <c r="F28" i="17"/>
  <c r="C28" i="17"/>
  <c r="D17" i="17"/>
  <c r="C17" i="17"/>
  <c r="C16" i="17"/>
  <c r="D12" i="17"/>
  <c r="F16" i="17"/>
  <c r="F15" i="17"/>
  <c r="F9" i="17"/>
  <c r="C18" i="17"/>
  <c r="C12" i="17"/>
  <c r="C22" i="17"/>
  <c r="C19" i="17"/>
  <c r="C15" i="17"/>
  <c r="H65" i="19"/>
  <c r="A299" i="19"/>
  <c r="D299" i="19" s="1"/>
  <c r="A291" i="19"/>
  <c r="D290" i="19" s="1"/>
  <c r="A290" i="19"/>
  <c r="A274" i="19"/>
  <c r="A273" i="19"/>
  <c r="A261" i="19"/>
  <c r="D260" i="19" s="1"/>
  <c r="A260" i="19"/>
  <c r="A245" i="19"/>
  <c r="A244" i="19"/>
  <c r="A229" i="19"/>
  <c r="A228" i="19"/>
  <c r="A207" i="19"/>
  <c r="A206" i="19"/>
  <c r="A188" i="19"/>
  <c r="D187" i="19" s="1"/>
  <c r="A187" i="19"/>
  <c r="A173" i="19"/>
  <c r="A172" i="19"/>
  <c r="A158" i="19"/>
  <c r="K7" i="19" s="1"/>
  <c r="A134" i="19"/>
  <c r="A133" i="19"/>
  <c r="E72" i="19"/>
  <c r="B71" i="19"/>
  <c r="E68" i="19"/>
  <c r="E66" i="19"/>
  <c r="E67" i="19" s="1"/>
  <c r="J64" i="19"/>
  <c r="H63" i="19"/>
  <c r="E63" i="19"/>
  <c r="E65" i="19" s="1"/>
  <c r="J61" i="19"/>
  <c r="J63" i="19" s="1"/>
  <c r="I61" i="19"/>
  <c r="H61" i="19"/>
  <c r="E61" i="19"/>
  <c r="D61" i="19"/>
  <c r="C61" i="19"/>
  <c r="B61" i="19"/>
  <c r="G53" i="19"/>
  <c r="L51" i="19"/>
  <c r="L50" i="19"/>
  <c r="J54" i="19"/>
  <c r="G48" i="19"/>
  <c r="G39" i="19"/>
  <c r="L38" i="19"/>
  <c r="J38" i="19"/>
  <c r="D38" i="19"/>
  <c r="L37" i="19"/>
  <c r="J37" i="19"/>
  <c r="D37" i="19"/>
  <c r="L36" i="19"/>
  <c r="J36" i="19"/>
  <c r="D36" i="19"/>
  <c r="C24" i="19"/>
  <c r="C7" i="19"/>
  <c r="K9" i="19"/>
  <c r="D172" i="19"/>
  <c r="D206" i="19"/>
  <c r="D244" i="19"/>
  <c r="D273" i="19"/>
  <c r="A159" i="19"/>
  <c r="D158" i="19"/>
  <c r="D228" i="19"/>
  <c r="D133" i="19"/>
  <c r="C261" i="1"/>
  <c r="C253" i="1"/>
  <c r="D256" i="1"/>
  <c r="D257" i="1"/>
  <c r="H256" i="1"/>
  <c r="H257" i="1"/>
  <c r="L256" i="1"/>
  <c r="L257" i="1"/>
  <c r="C264" i="1"/>
  <c r="C265" i="1"/>
  <c r="D264" i="1"/>
  <c r="D265" i="1"/>
  <c r="E264" i="1"/>
  <c r="E265" i="1"/>
  <c r="F264" i="1"/>
  <c r="F265" i="1"/>
  <c r="G264" i="1"/>
  <c r="G265" i="1"/>
  <c r="H264" i="1"/>
  <c r="H265" i="1"/>
  <c r="I264" i="1"/>
  <c r="I265" i="1"/>
  <c r="J264" i="1"/>
  <c r="J265" i="1"/>
  <c r="K264" i="1"/>
  <c r="K265" i="1"/>
  <c r="L264" i="1"/>
  <c r="L265" i="1"/>
  <c r="M264" i="1"/>
  <c r="M265" i="1"/>
  <c r="B264" i="1"/>
  <c r="C256" i="1"/>
  <c r="C257" i="1" s="1"/>
  <c r="E256" i="1"/>
  <c r="E257" i="1" s="1"/>
  <c r="F256" i="1"/>
  <c r="F257" i="1" s="1"/>
  <c r="G256" i="1"/>
  <c r="G257" i="1" s="1"/>
  <c r="I256" i="1"/>
  <c r="I257" i="1" s="1"/>
  <c r="J256" i="1"/>
  <c r="J257" i="1" s="1"/>
  <c r="K256" i="1"/>
  <c r="K257" i="1" s="1"/>
  <c r="M256" i="1"/>
  <c r="M257" i="1" s="1"/>
  <c r="B256" i="1"/>
  <c r="C258" i="1" s="1"/>
  <c r="H22" i="1"/>
  <c r="B32" i="1" s="1"/>
  <c r="I4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I42" i="1"/>
  <c r="D116" i="1"/>
  <c r="D117" i="1"/>
  <c r="C179" i="1"/>
  <c r="H204" i="1" s="1"/>
  <c r="C169" i="1"/>
  <c r="C159" i="1"/>
  <c r="A206" i="1"/>
  <c r="D206" i="1"/>
  <c r="C206" i="1"/>
  <c r="J159" i="1"/>
  <c r="B103" i="1"/>
  <c r="C103" i="1"/>
  <c r="L52" i="1"/>
  <c r="B35" i="1"/>
  <c r="C35" i="1" s="1"/>
  <c r="D35" i="1" s="1"/>
  <c r="D32" i="1"/>
  <c r="E32" i="1" s="1"/>
  <c r="F32" i="1"/>
  <c r="G32" i="1" s="1"/>
  <c r="H35" i="1"/>
  <c r="F22" i="1"/>
  <c r="F10" i="17" s="1"/>
  <c r="F24" i="1"/>
  <c r="J115" i="1"/>
  <c r="L115" i="1"/>
  <c r="J116" i="1"/>
  <c r="L116" i="1"/>
  <c r="J117" i="1"/>
  <c r="L117" i="1"/>
  <c r="L129" i="1"/>
  <c r="J134" i="1"/>
  <c r="L130" i="1"/>
  <c r="D217" i="1"/>
  <c r="I217" i="1" s="1"/>
  <c r="F217" i="1"/>
  <c r="H217" i="1"/>
  <c r="D218" i="1"/>
  <c r="I218" i="1" s="1"/>
  <c r="F218" i="1"/>
  <c r="D219" i="1"/>
  <c r="I219" i="1" s="1"/>
  <c r="F219" i="1"/>
  <c r="D222" i="1"/>
  <c r="I222" i="1"/>
  <c r="F222" i="1"/>
  <c r="H222" i="1"/>
  <c r="D223" i="1"/>
  <c r="F223" i="1"/>
  <c r="H223" i="1"/>
  <c r="I223" i="1"/>
  <c r="D224" i="1"/>
  <c r="F224" i="1"/>
  <c r="H224" i="1"/>
  <c r="I224" i="1"/>
  <c r="D229" i="1"/>
  <c r="I229" i="1" s="1"/>
  <c r="F229" i="1"/>
  <c r="H229" i="1"/>
  <c r="D230" i="1"/>
  <c r="F230" i="1"/>
  <c r="H230" i="1"/>
  <c r="I230" i="1"/>
  <c r="D231" i="1"/>
  <c r="F231" i="1"/>
  <c r="H231" i="1"/>
  <c r="I231" i="1"/>
  <c r="D234" i="1"/>
  <c r="I234" i="1" s="1"/>
  <c r="F234" i="1"/>
  <c r="H234" i="1"/>
  <c r="D235" i="1"/>
  <c r="I235" i="1" s="1"/>
  <c r="F235" i="1"/>
  <c r="H235" i="1"/>
  <c r="D236" i="1"/>
  <c r="F236" i="1"/>
  <c r="H236" i="1"/>
  <c r="I236" i="1"/>
  <c r="C266" i="1"/>
  <c r="B265" i="1"/>
  <c r="F266" i="1" s="1"/>
  <c r="J65" i="19" l="1"/>
  <c r="E206" i="1"/>
  <c r="F206" i="1" s="1"/>
  <c r="E71" i="19"/>
  <c r="L53" i="1"/>
  <c r="G32" i="17" s="1"/>
  <c r="I225" i="1"/>
  <c r="I237" i="1"/>
  <c r="L35" i="1"/>
  <c r="L51" i="1"/>
  <c r="G23" i="1"/>
  <c r="J35" i="1"/>
  <c r="C32" i="1"/>
  <c r="H32" i="1" s="1"/>
  <c r="E35" i="1" s="1"/>
  <c r="E69" i="19" s="1"/>
  <c r="E70" i="19" s="1"/>
  <c r="B257" i="1"/>
  <c r="F258" i="1" s="1"/>
  <c r="E241" i="1" l="1"/>
  <c r="C241" i="1"/>
  <c r="C66" i="19"/>
  <c r="K35" i="1"/>
  <c r="F35" i="1"/>
  <c r="F241" i="1" l="1"/>
  <c r="C67" i="19"/>
  <c r="G33" i="17"/>
  <c r="E64" i="19"/>
  <c r="G35" i="1"/>
  <c r="B64" i="19" s="1"/>
  <c r="I35" i="1"/>
</calcChain>
</file>

<file path=xl/sharedStrings.xml><?xml version="1.0" encoding="utf-8"?>
<sst xmlns="http://schemas.openxmlformats.org/spreadsheetml/2006/main" count="1465" uniqueCount="932">
  <si>
    <t>Vent - Makeup Air for Combustion Appliances</t>
  </si>
  <si>
    <t>Wall Repair - Interior</t>
  </si>
  <si>
    <t>Water Pipe Wrap</t>
  </si>
  <si>
    <t>Window Repair</t>
  </si>
  <si>
    <t>Clean Crawl</t>
  </si>
  <si>
    <t xml:space="preserve"> Non Energy Items / General Assessment Notes</t>
  </si>
  <si>
    <t>Tight</t>
  </si>
  <si>
    <t>* Wall areas are entered as total area before doors and windows subtracted. Please note otherwise*</t>
  </si>
  <si>
    <t>Total (sqft)</t>
  </si>
  <si>
    <t>Initial CFM@50</t>
  </si>
  <si>
    <t>Building Face</t>
  </si>
  <si>
    <t xml:space="preserve">Date Confirmation of QR Corrections </t>
  </si>
  <si>
    <t xml:space="preserve">Baffles in Eaves Vents with rigid material. Approved material and fasteners extended 4 inches above insulation.  </t>
  </si>
  <si>
    <t xml:space="preserve">Knee wall cavities insulated between conditioned and unconditioned space to R15 or better </t>
  </si>
  <si>
    <t xml:space="preserve">Unvented Vaulted Ceiling is tightly packed with insulation </t>
  </si>
  <si>
    <t>Furnace and seal combustion intakes installed to local code and manufactures specifications. 50cuft for 1000btu/hr</t>
  </si>
  <si>
    <t>Central</t>
  </si>
  <si>
    <t>Evaporative</t>
  </si>
  <si>
    <t>R 38 to R50</t>
  </si>
  <si>
    <t>CEWO Project ID#</t>
  </si>
  <si>
    <t>Exterior Walls</t>
  </si>
  <si>
    <t>Attic Flat</t>
  </si>
  <si>
    <t>Kneewalls</t>
  </si>
  <si>
    <t>Slope / Vault</t>
  </si>
  <si>
    <t>Floor / Crawlspace Ceiling</t>
  </si>
  <si>
    <r>
      <t>BAS</t>
    </r>
    <r>
      <rPr>
        <b/>
        <vertAlign val="subscript"/>
        <sz val="12"/>
        <rFont val="Times New Roman"/>
        <family val="1"/>
      </rPr>
      <t>CFM50</t>
    </r>
  </si>
  <si>
    <r>
      <t>GFA (ft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</si>
  <si>
    <r>
      <t>NFA (ft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>)</t>
    </r>
  </si>
  <si>
    <r>
      <t>Attic ft</t>
    </r>
    <r>
      <rPr>
        <b/>
        <vertAlign val="superscript"/>
        <sz val="12"/>
        <rFont val="Times New Roman"/>
        <family val="1"/>
      </rPr>
      <t>2</t>
    </r>
  </si>
  <si>
    <t>Vented/Unconditioned</t>
  </si>
  <si>
    <t>Unvented/Conditioned</t>
  </si>
  <si>
    <t xml:space="preserve">Clean Energy Works Oregon Quality Review </t>
  </si>
  <si>
    <t>Est Reduction</t>
  </si>
  <si>
    <t>Gas Tank</t>
  </si>
  <si>
    <t>Electric Tank</t>
  </si>
  <si>
    <t>Gas Furnace</t>
  </si>
  <si>
    <t>70% BAS</t>
  </si>
  <si>
    <t>Combustion Issues</t>
  </si>
  <si>
    <t>Windows Units</t>
  </si>
  <si>
    <t>Avg Daily Usage</t>
  </si>
  <si>
    <t>Total Year Usage</t>
  </si>
  <si>
    <t>Monthly Cost</t>
  </si>
  <si>
    <t>Estimated Yearly Cost</t>
  </si>
  <si>
    <t>Computer Equipment</t>
  </si>
  <si>
    <t>UTILITY BILL / BASELOAD INFORMATION</t>
  </si>
  <si>
    <t>Access Install - Attic</t>
  </si>
  <si>
    <t>Access Install - Basement</t>
  </si>
  <si>
    <t>Access Install - Crawlspace</t>
  </si>
  <si>
    <t xml:space="preserve">Access Install - Kneewall </t>
  </si>
  <si>
    <t>Asbestos Mitigation</t>
  </si>
  <si>
    <t>Chimney Damper</t>
  </si>
  <si>
    <t>Chimney Repair</t>
  </si>
  <si>
    <t>CO Detector</t>
  </si>
  <si>
    <t>DHW Seismic Strap (Existing Unit)</t>
  </si>
  <si>
    <t>Door Install - Exterior</t>
  </si>
  <si>
    <t>Door Repair</t>
  </si>
  <si>
    <t>Dryer Exhaust Ducting</t>
  </si>
  <si>
    <t>Metal Ductwork Additions/repair</t>
  </si>
  <si>
    <t>Flexduct Additions/repair</t>
  </si>
  <si>
    <t>Electrical Circuit Updates Required for DHW or Heating System Install</t>
  </si>
  <si>
    <t>Electrical Service Panel Upgrade</t>
  </si>
  <si>
    <t>Equipment Flue correction(s)</t>
  </si>
  <si>
    <t>Gas Line Extension/repair</t>
  </si>
  <si>
    <t>Gutter repair</t>
  </si>
  <si>
    <t>Human Contact Barrier</t>
  </si>
  <si>
    <t>Insulation Baffles/dams - Attic</t>
  </si>
  <si>
    <t>Insulation Baffles/dams - Kneewall</t>
  </si>
  <si>
    <t>Insulation Removal - Attic</t>
  </si>
  <si>
    <t>Insulation Removal - Basement/crawlspace</t>
  </si>
  <si>
    <t>Insulation removal - Ducts</t>
  </si>
  <si>
    <t>Insulation Removal - Exterior Wall</t>
  </si>
  <si>
    <t>Insulation removal - Kneewall &amp; Rake</t>
  </si>
  <si>
    <t>Knob &amp; Tube decommission</t>
  </si>
  <si>
    <t>Knob &amp; Tube decommission(no walls)</t>
  </si>
  <si>
    <t>Lead Paint Mitigation Exterior (removal)</t>
  </si>
  <si>
    <t>Lead Paint Mitigation Interior (removal)</t>
  </si>
  <si>
    <t>Light Fixture Install/replace</t>
  </si>
  <si>
    <t>Moisture Mitigation - Above Grade Exterior</t>
  </si>
  <si>
    <t>Moisture Mitigation - Above Grade Interior</t>
  </si>
  <si>
    <t>Moisture Mitigation - Attic/kneewall</t>
  </si>
  <si>
    <t>Moisture Mitigation - Below Grade Exterior</t>
  </si>
  <si>
    <t>Moisture Mitigation - Below Grade Interior</t>
  </si>
  <si>
    <t>Non-structural repair</t>
  </si>
  <si>
    <t>Pest Control</t>
  </si>
  <si>
    <t>Plumbing repair</t>
  </si>
  <si>
    <t>Radon Mitigation</t>
  </si>
  <si>
    <t>Roof Repair</t>
  </si>
  <si>
    <t>Service call on unit - DHW</t>
  </si>
  <si>
    <t>Service call on unit - Heating</t>
  </si>
  <si>
    <t>Siding Removal/repair - Exterior</t>
  </si>
  <si>
    <t>Solar Tube install</t>
  </si>
  <si>
    <t>Storage framing - Attic</t>
  </si>
  <si>
    <t>Structural repair</t>
  </si>
  <si>
    <t>Vapor Barrier - Attic</t>
  </si>
  <si>
    <t>Vapor Barrier - Crawlspace</t>
  </si>
  <si>
    <t>Vapor Barrier - Knee Wall</t>
  </si>
  <si>
    <t>Vent (Passive) - Attic</t>
  </si>
  <si>
    <t>Vent (Passive) - Crawlspace</t>
  </si>
  <si>
    <t>Vent (Passive) - Kneewall</t>
  </si>
  <si>
    <t>Ventilation - HRV</t>
  </si>
  <si>
    <t>Ventilation - Mechanical BPI recommended or required</t>
  </si>
  <si>
    <t xml:space="preserve">Ventilation - Mechanical </t>
  </si>
  <si>
    <t>Conditioned Area (sqft)</t>
  </si>
  <si>
    <t>Reduction</t>
  </si>
  <si>
    <t>% of Floor Area</t>
  </si>
  <si>
    <t>Foundation Walls</t>
  </si>
  <si>
    <t>Notes / Pressure differential diagnosis</t>
  </si>
  <si>
    <t>Side Length</t>
  </si>
  <si>
    <t>Rigid Metal</t>
  </si>
  <si>
    <t>Metal Flex</t>
  </si>
  <si>
    <t>Plastic Flex</t>
  </si>
  <si>
    <t>Ductboard</t>
  </si>
  <si>
    <t>Mixed</t>
  </si>
  <si>
    <t xml:space="preserve">Return </t>
  </si>
  <si>
    <t>Monthly Usage</t>
  </si>
  <si>
    <t>Devin Moeller</t>
  </si>
  <si>
    <t>Dean Evans</t>
  </si>
  <si>
    <t>Andy Kuss</t>
  </si>
  <si>
    <t>Bill Krauss</t>
  </si>
  <si>
    <t>Shastan Shannon</t>
  </si>
  <si>
    <t>Michael Newcomb</t>
  </si>
  <si>
    <t>Single Metal</t>
  </si>
  <si>
    <t xml:space="preserve">Phone </t>
  </si>
  <si>
    <t>Very Leaky</t>
  </si>
  <si>
    <t>Leaky</t>
  </si>
  <si>
    <t>Average</t>
  </si>
  <si>
    <t xml:space="preserve">Tight </t>
  </si>
  <si>
    <t>Very Tight</t>
  </si>
  <si>
    <t>Extremely Tight</t>
  </si>
  <si>
    <t>U=0.90</t>
  </si>
  <si>
    <t>U=0.49</t>
  </si>
  <si>
    <t>U=0.39</t>
  </si>
  <si>
    <t>U=1.31</t>
  </si>
  <si>
    <t>U=0.87</t>
  </si>
  <si>
    <t>U=0.46</t>
  </si>
  <si>
    <t>U=0.36</t>
  </si>
  <si>
    <t>Qualitative Leakiness</t>
  </si>
  <si>
    <t>R 11 to R 21</t>
  </si>
  <si>
    <t>90 AFUE Gas or 9 HSPF Heat Pump</t>
  </si>
  <si>
    <r>
      <t>Duct Leakage (CFM</t>
    </r>
    <r>
      <rPr>
        <b/>
        <vertAlign val="subscript"/>
        <sz val="20"/>
        <rFont val="Times New Roman"/>
        <family val="1"/>
      </rPr>
      <t>50</t>
    </r>
    <r>
      <rPr>
        <b/>
        <sz val="20"/>
        <rFont val="Times New Roman"/>
        <family val="1"/>
      </rPr>
      <t>)</t>
    </r>
  </si>
  <si>
    <r>
      <t>Air Leakage (CFM</t>
    </r>
    <r>
      <rPr>
        <b/>
        <vertAlign val="subscript"/>
        <sz val="20"/>
        <rFont val="Times New Roman"/>
        <family val="1"/>
      </rPr>
      <t>50</t>
    </r>
    <r>
      <rPr>
        <b/>
        <sz val="20"/>
        <rFont val="Times New Roman"/>
        <family val="1"/>
      </rPr>
      <t>)</t>
    </r>
  </si>
  <si>
    <t>Phone</t>
  </si>
  <si>
    <t xml:space="preserve">Split Test </t>
  </si>
  <si>
    <t>Building Building</t>
  </si>
  <si>
    <r>
      <t xml:space="preserve"> </t>
    </r>
    <r>
      <rPr>
        <sz val="9"/>
        <color indexed="8"/>
        <rFont val="Arial"/>
        <family val="2"/>
      </rPr>
      <t xml:space="preserve">48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</si>
  <si>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1.03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</si>
  <si>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28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</si>
  <si>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1.46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</si>
  <si>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46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</si>
  <si>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1.06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</si>
  <si>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26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</si>
  <si>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1.53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</si>
  <si>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44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</si>
  <si>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1.09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</si>
  <si>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24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</si>
  <si>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1.61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</si>
  <si>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42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</si>
  <si>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1.12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</si>
  <si>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22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</si>
  <si>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1.71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</si>
  <si>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40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</si>
  <si>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1.16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</si>
  <si>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20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</si>
  <si>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1.81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</si>
  <si>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38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</si>
  <si>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1.20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</si>
  <si>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18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</si>
  <si>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1.94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</si>
  <si>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36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</si>
  <si>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1.24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</si>
  <si>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16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</si>
  <si>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2.10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</si>
  <si>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34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</si>
  <si>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1.28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</si>
  <si>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14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</si>
  <si>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2.29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</si>
  <si>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32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</si>
  <si>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1.34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</si>
  <si>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12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</si>
  <si>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2.53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</si>
  <si>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30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</si>
  <si>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1.39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</si>
  <si>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10 </t>
    </r>
    <r>
      <rPr>
        <sz val="10"/>
        <rFont val="Arial"/>
        <family val="2"/>
      </rPr>
      <t xml:space="preserve"> </t>
    </r>
  </si>
  <si>
    <r>
      <t xml:space="preserve"> </t>
    </r>
    <r>
      <rPr>
        <sz val="9"/>
        <color indexed="8"/>
        <rFont val="Arial"/>
        <family val="2"/>
      </rPr>
      <t xml:space="preserve">2.85 </t>
    </r>
    <r>
      <rPr>
        <sz val="10"/>
        <rFont val="Arial"/>
        <family val="2"/>
      </rPr>
      <t xml:space="preserve"> </t>
    </r>
  </si>
  <si>
    <t xml:space="preserve">CRF </t>
  </si>
  <si>
    <t xml:space="preserve">Pressure (Pa) </t>
  </si>
  <si>
    <t>Notes (include CRF)</t>
  </si>
  <si>
    <t>Adjusted CFM50</t>
  </si>
  <si>
    <t>Type of Quality Review</t>
  </si>
  <si>
    <t>CRF Factor</t>
  </si>
  <si>
    <t>Floor Area     section 2</t>
  </si>
  <si>
    <t>Floor Area   section 3</t>
  </si>
  <si>
    <t xml:space="preserve">Floor Area       Section 1 </t>
  </si>
  <si>
    <t>Total Square Ft</t>
  </si>
  <si>
    <t>WINDOWS / DOOR</t>
  </si>
  <si>
    <t>% of System Location</t>
  </si>
  <si>
    <t>* Required if recommending windows or wall insulation *</t>
  </si>
  <si>
    <t>Baseload Appliances</t>
  </si>
  <si>
    <t>Year</t>
  </si>
  <si>
    <t>Refridgerator</t>
  </si>
  <si>
    <t>Freezer</t>
  </si>
  <si>
    <t>Hot Tub / Spa</t>
  </si>
  <si>
    <t>Pool</t>
  </si>
  <si>
    <t>Well Pump</t>
  </si>
  <si>
    <t>Outdoor Water Feature</t>
  </si>
  <si>
    <t>Pump</t>
  </si>
  <si>
    <t>Machine Shop</t>
  </si>
  <si>
    <t xml:space="preserve">RV connected </t>
  </si>
  <si>
    <t xml:space="preserve">Proper ventilation NFA  </t>
  </si>
  <si>
    <t>(UN 1.2)</t>
  </si>
  <si>
    <t>(UN 1.0 and 1.1)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</si>
  <si>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</si>
  <si>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</si>
  <si>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</si>
  <si>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</si>
  <si>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</si>
  <si>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</si>
  <si>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</si>
  <si>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</si>
  <si>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</si>
  <si>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</si>
  <si>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</si>
  <si>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</si>
  <si>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Daily Usage</t>
  </si>
  <si>
    <t>Electric Utility Provider</t>
  </si>
  <si>
    <t>PGE</t>
  </si>
  <si>
    <t>Gas Utility Provider</t>
  </si>
  <si>
    <t>$/Therm =</t>
  </si>
  <si>
    <t>$/kwh =</t>
  </si>
  <si>
    <t>Energy Savings Measure</t>
  </si>
  <si>
    <t>Heating System (Type &amp; Efficiency)</t>
  </si>
  <si>
    <t>Hot Water Heating (Type &amp; Efficiency)</t>
  </si>
  <si>
    <t xml:space="preserve">Additional Measures </t>
  </si>
  <si>
    <t>Electric Utility</t>
  </si>
  <si>
    <t>Gas Utility</t>
  </si>
  <si>
    <t>Quantity</t>
  </si>
  <si>
    <t>Height (in.)</t>
  </si>
  <si>
    <t>Width (in.)</t>
  </si>
  <si>
    <t>Double Hung</t>
  </si>
  <si>
    <t>Contractor Address</t>
  </si>
  <si>
    <t>Single Wood</t>
  </si>
  <si>
    <t>Panes/Frame</t>
  </si>
  <si>
    <t>Total # of Windows</t>
  </si>
  <si>
    <t>Total area (sq ft)</t>
  </si>
  <si>
    <t>% of walls</t>
  </si>
  <si>
    <t>Recommended</t>
  </si>
  <si>
    <t>10% of area</t>
  </si>
  <si>
    <t>.67 EF Gas or .93 EF Electric</t>
  </si>
  <si>
    <t xml:space="preserve">Attic Insulation </t>
  </si>
  <si>
    <t xml:space="preserve">Floor Insulation </t>
  </si>
  <si>
    <t xml:space="preserve">Duct Insulation </t>
  </si>
  <si>
    <t xml:space="preserve">Type </t>
  </si>
  <si>
    <t>Rating</t>
  </si>
  <si>
    <t>R11 rigid or R8 Flex</t>
  </si>
  <si>
    <t>Double Wood</t>
  </si>
  <si>
    <t>Triple Wood</t>
  </si>
  <si>
    <t>Double Metal</t>
  </si>
  <si>
    <t>Double Vinyl</t>
  </si>
  <si>
    <t>Triple Vinyl</t>
  </si>
  <si>
    <t>Roof Type</t>
  </si>
  <si>
    <t>NWN</t>
  </si>
  <si>
    <t>Cascade</t>
  </si>
  <si>
    <t>Avista</t>
  </si>
  <si>
    <t>Pacific</t>
  </si>
  <si>
    <t>PUD</t>
  </si>
  <si>
    <t xml:space="preserve">NFA Venting </t>
  </si>
  <si>
    <t>Attic Total square feet</t>
  </si>
  <si>
    <t>Floor Total square feet</t>
  </si>
  <si>
    <t xml:space="preserve"> Walls Total square feet</t>
  </si>
  <si>
    <t>BPI Technician</t>
  </si>
  <si>
    <t>Fiberglass</t>
  </si>
  <si>
    <t>Flex duct</t>
  </si>
  <si>
    <t>Moisture Issues</t>
  </si>
  <si>
    <t>Primary Heating System #1</t>
  </si>
  <si>
    <t>Primary DHW #1</t>
  </si>
  <si>
    <t>% Load</t>
  </si>
  <si>
    <t>% Space</t>
  </si>
  <si>
    <t>Secondary Heating System #2</t>
  </si>
  <si>
    <t>Secondary DHW #2</t>
  </si>
  <si>
    <t>Year Home Built</t>
  </si>
  <si>
    <t>Primary Heating Fuel</t>
  </si>
  <si>
    <t>Total W</t>
  </si>
  <si>
    <t>Total H</t>
  </si>
  <si>
    <t xml:space="preserve">East </t>
  </si>
  <si>
    <t>Fixed</t>
  </si>
  <si>
    <t>Patio Door</t>
  </si>
  <si>
    <t>2 Lite Slider</t>
  </si>
  <si>
    <t>3 Lite Slider</t>
  </si>
  <si>
    <t>Fixed Center Casement</t>
  </si>
  <si>
    <t>Single Vent Casemnet</t>
  </si>
  <si>
    <t>Double Vent Casement</t>
  </si>
  <si>
    <t>Single Hung</t>
  </si>
  <si>
    <t>Single Vent Awning</t>
  </si>
  <si>
    <t>Vaulted</t>
  </si>
  <si>
    <t>Flat</t>
  </si>
  <si>
    <t>Total Wall Area</t>
  </si>
  <si>
    <t>U Rating 0.25 or less</t>
  </si>
  <si>
    <t>Solar Assist</t>
  </si>
  <si>
    <t>Asbestos</t>
  </si>
  <si>
    <t>Storm Windows</t>
  </si>
  <si>
    <t>Shared</t>
  </si>
  <si>
    <t>Estimated Reduction</t>
  </si>
  <si>
    <t>% of estimated</t>
  </si>
  <si>
    <t xml:space="preserve">Estimated </t>
  </si>
  <si>
    <t>Home Performance Findings Report</t>
  </si>
  <si>
    <t>QR Results</t>
  </si>
  <si>
    <t>QR Advisor</t>
  </si>
  <si>
    <t>Quick QR</t>
  </si>
  <si>
    <t>Full QR</t>
  </si>
  <si>
    <t>R 30 or fill cavity</t>
  </si>
  <si>
    <t>(AT 1.11)</t>
  </si>
  <si>
    <t xml:space="preserve">Access hatch insulated to R30 and weather-stripped </t>
  </si>
  <si>
    <t>Access hatch dammed with approved material</t>
  </si>
  <si>
    <t>Active knob and tube wiring or other exposed wiring approved</t>
  </si>
  <si>
    <t xml:space="preserve">Human Contact areas covered </t>
  </si>
  <si>
    <t>(AT 2.9)</t>
  </si>
  <si>
    <t xml:space="preserve">Foam insulation complies with ignition barrier requirement </t>
  </si>
  <si>
    <t>(AT 2.3)</t>
  </si>
  <si>
    <t xml:space="preserve">Exterior access doors weather and vermin proof </t>
  </si>
  <si>
    <t>(AT 1.13)</t>
  </si>
  <si>
    <t xml:space="preserve">Human contact areas covered </t>
  </si>
  <si>
    <t>(AS 1.1 and 1.2</t>
  </si>
  <si>
    <t xml:space="preserve">Approved Air Leakage Reduction that meets ETO requirement and within 20% of modeled  </t>
  </si>
  <si>
    <t xml:space="preserve">Address all accessible air sealing opportunities </t>
  </si>
  <si>
    <t>(AS 1.0)</t>
  </si>
  <si>
    <t>(AS 1.4)</t>
  </si>
  <si>
    <t xml:space="preserve">Mechanical Ventilation Installed if Required </t>
  </si>
  <si>
    <t>(AS 1.4) Major</t>
  </si>
  <si>
    <t xml:space="preserve">No major moisture issue present </t>
  </si>
  <si>
    <t xml:space="preserve">U Rating Approved </t>
  </si>
  <si>
    <t>(WI 1.1)</t>
  </si>
  <si>
    <t xml:space="preserve">Safety Glazing where required </t>
  </si>
  <si>
    <t>(WI 1.9)</t>
  </si>
  <si>
    <t xml:space="preserve">Head Flashing at Exposed Windows </t>
  </si>
  <si>
    <t>(WI 1.4)</t>
  </si>
  <si>
    <t xml:space="preserve">Windows operate smoothly </t>
  </si>
  <si>
    <t>(WI 1.0)</t>
  </si>
  <si>
    <t xml:space="preserve">Exterior wood caulked and primed </t>
  </si>
  <si>
    <t xml:space="preserve">Gaps between exterior siding and window are covered and filled </t>
  </si>
  <si>
    <t>(WI 1.12</t>
  </si>
  <si>
    <t xml:space="preserve">Emergency Egress Openings </t>
  </si>
  <si>
    <t>Condensate pump drained to appropriate location</t>
  </si>
  <si>
    <t xml:space="preserve">No Health or Safety Issues </t>
  </si>
  <si>
    <t>Exhaust Fans Properly ducted to exterior with approved method</t>
  </si>
  <si>
    <t xml:space="preserve">Test Out CFM50 is above MVL or cfm50 above 70% of BAS. </t>
  </si>
  <si>
    <t xml:space="preserve">Exterior Insulation R-19 or better. </t>
  </si>
  <si>
    <t>Interstate URA</t>
  </si>
  <si>
    <t>Lents Town Center URA</t>
  </si>
  <si>
    <t>Outside of URA</t>
  </si>
  <si>
    <t>Zip Code</t>
  </si>
  <si>
    <t xml:space="preserve">Ground Cover Installed and continuous.  6mil black polyethylene </t>
  </si>
  <si>
    <t>(UN 1.3)</t>
  </si>
  <si>
    <t xml:space="preserve">Water Pipe are insulated to R3.  Continuous and supported </t>
  </si>
  <si>
    <t>(UN 2.3)</t>
  </si>
  <si>
    <t>Access hatch insulated R25, side doors R15. Securely fastened and weather-stripped.</t>
  </si>
  <si>
    <t>(UN 2.4)</t>
  </si>
  <si>
    <t xml:space="preserve">Outside access sealed or screened and secure </t>
  </si>
  <si>
    <t>(UN 2.5)</t>
  </si>
  <si>
    <t xml:space="preserve">Crawlspace walls between conditioned and unconditioned space insulated to R15 </t>
  </si>
  <si>
    <t>(UN 2.8)</t>
  </si>
  <si>
    <t xml:space="preserve">Human Contact Areas Covered </t>
  </si>
  <si>
    <t xml:space="preserve">Dryer vents or exhaust vents hard ducted and dedicated, supported </t>
  </si>
  <si>
    <t>(UN 2.6 and 2.7)</t>
  </si>
  <si>
    <t>Attic Insulation</t>
  </si>
  <si>
    <t>Floor Insulation</t>
  </si>
  <si>
    <t>Air Sealing</t>
  </si>
  <si>
    <t>Duct Sealing and Insulation</t>
  </si>
  <si>
    <t>Furnace</t>
  </si>
  <si>
    <t>Wall Insulation</t>
  </si>
  <si>
    <t>Notes:</t>
  </si>
  <si>
    <t>Correct Model and Serial Number</t>
  </si>
  <si>
    <t>Properly Plumbed</t>
  </si>
  <si>
    <t>Non Energy Items</t>
  </si>
  <si>
    <t>Flue pipe correctly installed</t>
  </si>
  <si>
    <t>Heat Pump</t>
  </si>
  <si>
    <t>Check Me</t>
  </si>
  <si>
    <t>AFUE Correct</t>
  </si>
  <si>
    <t>HSPF Correct</t>
  </si>
  <si>
    <t>Ventilation CFM</t>
  </si>
  <si>
    <t>Carbon Monoxide Detector Installed</t>
  </si>
  <si>
    <t>Flue terminates Outside of Shell</t>
  </si>
  <si>
    <t>No Health or Safety Issues (BPI)</t>
  </si>
  <si>
    <t>Corrective Action Needed</t>
  </si>
  <si>
    <t>No Standing Water, Water leaks, Decay, or Debris</t>
  </si>
  <si>
    <t xml:space="preserve">All accessible air leaks sealed </t>
  </si>
  <si>
    <t>(UN 2.9)</t>
  </si>
  <si>
    <t xml:space="preserve">Insulation Cavity Filled and R 15 </t>
  </si>
  <si>
    <t xml:space="preserve">Insulation covered </t>
  </si>
  <si>
    <t>Rim Joist Insulation square footage installed is accurate within 10%.</t>
  </si>
  <si>
    <t>(WA 1.2)</t>
  </si>
  <si>
    <t xml:space="preserve">Infrared camera verified that wall cavities are filled </t>
  </si>
  <si>
    <t>Closed walls insulated between conditioned and unconditioned space to R11 or higher</t>
  </si>
  <si>
    <t xml:space="preserve">Wall Insulation square footage installed is accurate within 10%. </t>
  </si>
  <si>
    <t>(WA 1.4)</t>
  </si>
  <si>
    <t>(WA 1.5)</t>
  </si>
  <si>
    <t>(WA 1.3)</t>
  </si>
  <si>
    <t>(WA 1.0)</t>
  </si>
  <si>
    <t xml:space="preserve">Exterior siding sealed and repaired where disturbed </t>
  </si>
  <si>
    <t xml:space="preserve">Plugs sealed and waterproofed </t>
  </si>
  <si>
    <t xml:space="preserve">Open walls insulated to R15 or filled cavity and covered with vapor perm barrier </t>
  </si>
  <si>
    <t xml:space="preserve">Approved Duct Leakage Reduction that meets ETO requirements and within 20% of modeled estimated reduction </t>
  </si>
  <si>
    <t>(DS 1.1 AND 1.2)</t>
  </si>
  <si>
    <t xml:space="preserve">Duct work is in unconditioned space </t>
  </si>
  <si>
    <t xml:space="preserve">(Quality Control Standards) </t>
  </si>
  <si>
    <t xml:space="preserve">Ducts properly sealed with mastic or approved material </t>
  </si>
  <si>
    <t>(DS 1.5)</t>
  </si>
  <si>
    <t xml:space="preserve">No sagging or poorly supported ducts. </t>
  </si>
  <si>
    <t>(DS 1.4)</t>
  </si>
  <si>
    <t>All inferior sections of ducting were repaired or replaced</t>
  </si>
  <si>
    <t>(DS 1.3)</t>
  </si>
  <si>
    <t xml:space="preserve">CO Monitor Installed </t>
  </si>
  <si>
    <t>(DS 1.8)</t>
  </si>
  <si>
    <t xml:space="preserve">Air Handler Effect Test Pass </t>
  </si>
  <si>
    <t>(DS 1.7)</t>
  </si>
  <si>
    <t xml:space="preserve">Insulation R11 rigid ducts R8 flex </t>
  </si>
  <si>
    <t>(DU 1.0)</t>
  </si>
  <si>
    <t xml:space="preserve">Duct insulation supported </t>
  </si>
  <si>
    <t>(DU 1.2)</t>
  </si>
  <si>
    <t>Heat producing fixtures properly baffled. (non IC rated light/fan/heater, metal flue, chimney, transformer)</t>
  </si>
  <si>
    <t>(AT 1.7, 1.8, 1.9)</t>
  </si>
  <si>
    <t>(AT 1.4)</t>
  </si>
  <si>
    <t>Temp (˚F)</t>
  </si>
  <si>
    <t>Notes from CAZ Testing</t>
  </si>
  <si>
    <t>Orphaned</t>
  </si>
  <si>
    <t>Flue Pipe Joints Sealed and terminates outside of the shell of home.</t>
  </si>
  <si>
    <t>Pressure Relief valve installed correctly</t>
  </si>
  <si>
    <t>Earthquake Strapping Installed</t>
  </si>
  <si>
    <t>Energy Advisor</t>
  </si>
  <si>
    <t>(AT 1.0)</t>
  </si>
  <si>
    <t xml:space="preserve">Attic Insulation is R-38 or better </t>
  </si>
  <si>
    <t>(Quality Control Standards)</t>
  </si>
  <si>
    <t>Attic Insulation square footage installed is accurate within 10%.</t>
  </si>
  <si>
    <t xml:space="preserve">Insulation Installed between Conditioned and Unconditioned Space </t>
  </si>
  <si>
    <t xml:space="preserve">Adequate Passive Ventilation Installed.  Separate Attic spaces need their own NFA calculation </t>
  </si>
  <si>
    <t xml:space="preserve">Air penetrations between attic and conditioned space have been sealed </t>
  </si>
  <si>
    <t>(AT 1.1)</t>
  </si>
  <si>
    <t>(AT 2.2)</t>
  </si>
  <si>
    <t>All vapor barriers face conditioned/living space</t>
  </si>
  <si>
    <t>No vapor barrier trapped between insulation layers</t>
  </si>
  <si>
    <t>(AT 1.14)</t>
  </si>
  <si>
    <t>(AT 2.0)</t>
  </si>
  <si>
    <t>(AT 1.3)</t>
  </si>
  <si>
    <t>(AT 1.6)</t>
  </si>
  <si>
    <t>(AT 1.2)</t>
  </si>
  <si>
    <t xml:space="preserve">Knee wall insulation covered with vapor permeable air barrier </t>
  </si>
  <si>
    <t>Blocking Installed under knee walls</t>
  </si>
  <si>
    <t xml:space="preserve">Knee wall access R-15 or R5 core door. Weather-stripped </t>
  </si>
  <si>
    <t>Skylights Framing insulated to R15</t>
  </si>
  <si>
    <t xml:space="preserve">Pull down stairs R-10 and weather-stripped </t>
  </si>
  <si>
    <t>(AT 1.12)</t>
  </si>
  <si>
    <t xml:space="preserve">Insulation cavity filled under storage </t>
  </si>
  <si>
    <t>(AT 2.4)</t>
  </si>
  <si>
    <t>Dams installed where insulation is at different levels</t>
  </si>
  <si>
    <t xml:space="preserve">Water lines in Attic are insulated </t>
  </si>
  <si>
    <t>(AT 1.10)</t>
  </si>
  <si>
    <t xml:space="preserve">Vented Vaulted Ceiling has 1 inch air space </t>
  </si>
  <si>
    <t>(AT 2.6)</t>
  </si>
  <si>
    <t>(AT 2.7)</t>
  </si>
  <si>
    <t>No Moisture present in attic cavity</t>
  </si>
  <si>
    <t>(BPI)</t>
  </si>
  <si>
    <t>(AT 2.8)</t>
  </si>
  <si>
    <t>(AT 1.5)</t>
  </si>
  <si>
    <t>(UN 1.0)</t>
  </si>
  <si>
    <t>Floor Insulation square footage installed is accurate within 10%.</t>
  </si>
  <si>
    <t xml:space="preserve">All Floor penetration sealed </t>
  </si>
  <si>
    <t>(UN 1.4)</t>
  </si>
  <si>
    <t>Floor Insulated between R21 - R30 and Filled Cavity. All insulation touching floor and secure</t>
  </si>
  <si>
    <t xml:space="preserve">Vapor Barriers Facings conditioned space </t>
  </si>
  <si>
    <t>(UN 2.0)</t>
  </si>
  <si>
    <t>(UN 2.1)</t>
  </si>
  <si>
    <t xml:space="preserve">Approved Wood Lath/Twine/ or Wire Supporting Material and Fasteners </t>
  </si>
  <si>
    <t xml:space="preserve">Approved spacing for supports </t>
  </si>
  <si>
    <t>(UN 2.2)</t>
  </si>
  <si>
    <t>Chick of All Trades</t>
  </si>
  <si>
    <t>Sustainable Solutions</t>
  </si>
  <si>
    <t>Windows Only</t>
  </si>
  <si>
    <t xml:space="preserve">Four Walls </t>
  </si>
  <si>
    <t>Wall unit</t>
  </si>
  <si>
    <t>CFMn</t>
  </si>
  <si>
    <t>Acceptable CFM 50 reduction</t>
  </si>
  <si>
    <t>&lt;10˚F</t>
  </si>
  <si>
    <t>&gt;90˚F</t>
  </si>
  <si>
    <t>House Baseline Pressure</t>
  </si>
  <si>
    <t xml:space="preserve">Chimney-top draft inducer; exhausto type; high static pressure flame retention head </t>
  </si>
  <si>
    <t>Total Condition               sq ft</t>
  </si>
  <si>
    <t>Ceiling Flat</t>
  </si>
  <si>
    <t>Crown</t>
  </si>
  <si>
    <t>Attic Net Free Area Ventilation Requirements</t>
  </si>
  <si>
    <t>Estimated</t>
  </si>
  <si>
    <t>Connected?</t>
  </si>
  <si>
    <t>Exhaust Fan #1</t>
  </si>
  <si>
    <t>Duct Leakage Test Data</t>
  </si>
  <si>
    <t>AC / Heat Pump Info</t>
  </si>
  <si>
    <t>Moisture / Air Quality Issues</t>
  </si>
  <si>
    <t xml:space="preserve">Notes on Heating and Ducting / DHW / Flue and Chimney </t>
  </si>
  <si>
    <t>Exterior Inspection Notes</t>
  </si>
  <si>
    <t>Ground Cover</t>
  </si>
  <si>
    <t>Pipe Wrap</t>
  </si>
  <si>
    <t xml:space="preserve">CEWO HOME PERFORMANCE DATA INTAKE SHEET </t>
  </si>
  <si>
    <t>Green Energy Solutions Inc</t>
  </si>
  <si>
    <t>Verde Energy</t>
  </si>
  <si>
    <t>Good Energy Retrofit</t>
  </si>
  <si>
    <t>Energy Comfort &amp; Construction</t>
  </si>
  <si>
    <t>JB Insulation</t>
  </si>
  <si>
    <t>Sensible Energy Solutions</t>
  </si>
  <si>
    <t>Alpha Energy Savers</t>
  </si>
  <si>
    <t>Energy Solutions Unlimited</t>
  </si>
  <si>
    <t>Northwest Infared</t>
  </si>
  <si>
    <t>Richart Family</t>
  </si>
  <si>
    <t>Coho Construction</t>
  </si>
  <si>
    <t>Green Home-Eco Tech</t>
  </si>
  <si>
    <t>Abacus Energy Solutions</t>
  </si>
  <si>
    <t>Faison Construction</t>
  </si>
  <si>
    <t>Home Energy Life Performance</t>
  </si>
  <si>
    <t>Contractor</t>
  </si>
  <si>
    <t>Address</t>
  </si>
  <si>
    <t>City</t>
  </si>
  <si>
    <t>Phone Number</t>
  </si>
  <si>
    <t>Project ID#</t>
  </si>
  <si>
    <t>Year Built</t>
  </si>
  <si>
    <t>Siding Type</t>
  </si>
  <si>
    <t>Outside Temp</t>
  </si>
  <si>
    <t>Inside Temp</t>
  </si>
  <si>
    <t>Years in Home</t>
  </si>
  <si>
    <t>Test Out Date</t>
  </si>
  <si>
    <t>Air Leakage Calculations</t>
  </si>
  <si>
    <t>Duct Leakage Calculations</t>
  </si>
  <si>
    <t>Outside</t>
  </si>
  <si>
    <t>Doors Open</t>
  </si>
  <si>
    <t>Doors Closed</t>
  </si>
  <si>
    <t>CAZ 2</t>
  </si>
  <si>
    <t>CAZ 3</t>
  </si>
  <si>
    <t>-2.6</t>
  </si>
  <si>
    <t>PTCS (Air Handler On Effect)</t>
  </si>
  <si>
    <t>Portland</t>
  </si>
  <si>
    <t>Beaverton</t>
  </si>
  <si>
    <t>Hillsboro</t>
  </si>
  <si>
    <t>Gresham</t>
  </si>
  <si>
    <t>Troutdale</t>
  </si>
  <si>
    <t>Happy Valley</t>
  </si>
  <si>
    <t>Milwaukie</t>
  </si>
  <si>
    <t>Tigard</t>
  </si>
  <si>
    <t>Lake Oswego</t>
  </si>
  <si>
    <t>Tualatin</t>
  </si>
  <si>
    <t>King City</t>
  </si>
  <si>
    <t>West Linn</t>
  </si>
  <si>
    <t>Knob and Tube</t>
  </si>
  <si>
    <t>BTU Output</t>
  </si>
  <si>
    <t>Non Energy Item on Bid Installed</t>
  </si>
  <si>
    <t>CAZ Results</t>
  </si>
  <si>
    <t>Installed Measures QC</t>
  </si>
  <si>
    <t>Pass/Fail</t>
  </si>
  <si>
    <t>AIR INFILTRATION and MINIMUM VENTILATION LEVEL</t>
  </si>
  <si>
    <t>COMBUSTION APPLIANCE ZONE TESTING (TEST IN)</t>
  </si>
  <si>
    <t>Furnace/Heating Unit operating correctly</t>
  </si>
  <si>
    <t>Heat Pump operating correctly</t>
  </si>
  <si>
    <t>Water Heater Operating correctly</t>
  </si>
  <si>
    <t>Minor</t>
  </si>
  <si>
    <t>Major</t>
  </si>
  <si>
    <t xml:space="preserve">Outside </t>
  </si>
  <si>
    <t>Solar Pool</t>
  </si>
  <si>
    <t>Solar DHW</t>
  </si>
  <si>
    <t>Interior</t>
  </si>
  <si>
    <t>Neil Kelly</t>
  </si>
  <si>
    <t>Front/Back</t>
  </si>
  <si>
    <t>Fail</t>
  </si>
  <si>
    <t>Test In Date</t>
  </si>
  <si>
    <t>NE</t>
  </si>
  <si>
    <t>Slope</t>
  </si>
  <si>
    <t>Gable Ends</t>
  </si>
  <si>
    <t>Addition</t>
  </si>
  <si>
    <t>Notes</t>
  </si>
  <si>
    <t>Rim Joist</t>
  </si>
  <si>
    <t>Flue</t>
  </si>
  <si>
    <t>Minimum Draft Pressure (Pa)</t>
  </si>
  <si>
    <t>-2.5</t>
  </si>
  <si>
    <t>Lower Circular Vents</t>
  </si>
  <si>
    <t>1/2 mesh</t>
  </si>
  <si>
    <t>High Circular Vents</t>
  </si>
  <si>
    <t>Qty</t>
  </si>
  <si>
    <t>Diameter (in)</t>
  </si>
  <si>
    <t>Screen</t>
  </si>
  <si>
    <t>SF</t>
  </si>
  <si>
    <t>Louver</t>
  </si>
  <si>
    <t>1/4 mesh</t>
  </si>
  <si>
    <t>No</t>
  </si>
  <si>
    <t>1/8 mesh</t>
  </si>
  <si>
    <t>1/16 mesh</t>
  </si>
  <si>
    <t>Lower Rectangular Vents</t>
  </si>
  <si>
    <t>Yes</t>
  </si>
  <si>
    <t>High Rectangular (and Ridge) Vents</t>
  </si>
  <si>
    <t>Height</t>
  </si>
  <si>
    <t>Width</t>
  </si>
  <si>
    <t>GFA (ft2)</t>
  </si>
  <si>
    <t>Total Lower NFA</t>
  </si>
  <si>
    <t>Total</t>
  </si>
  <si>
    <t>NFA Required</t>
  </si>
  <si>
    <t>To Add</t>
  </si>
  <si>
    <t>% of BAS</t>
  </si>
  <si>
    <t>70% of BAS</t>
  </si>
  <si>
    <t>CFM 50</t>
  </si>
  <si>
    <t>Oil</t>
  </si>
  <si>
    <t>Baseline</t>
  </si>
  <si>
    <t>Ambient CO</t>
  </si>
  <si>
    <t>Gas Leaks</t>
  </si>
  <si>
    <t>CAZ #1</t>
  </si>
  <si>
    <t>CAZ #2</t>
  </si>
  <si>
    <t>BPI Limit</t>
  </si>
  <si>
    <t>Appliance</t>
  </si>
  <si>
    <t>O2</t>
  </si>
  <si>
    <t>Heating #2</t>
  </si>
  <si>
    <t>Heating #1</t>
  </si>
  <si>
    <t xml:space="preserve">Oven </t>
  </si>
  <si>
    <t>Dryer</t>
  </si>
  <si>
    <t>CO</t>
  </si>
  <si>
    <t>Bedroom</t>
  </si>
  <si>
    <t>Living</t>
  </si>
  <si>
    <t>Crawl Ceiling</t>
  </si>
  <si>
    <t>Basement Ceiling</t>
  </si>
  <si>
    <t>Crawl Walls</t>
  </si>
  <si>
    <t>Garage Ceiling</t>
  </si>
  <si>
    <t>Slab</t>
  </si>
  <si>
    <t>Partial</t>
  </si>
  <si>
    <t>&lt;2x4</t>
  </si>
  <si>
    <t>Kneewall Flat</t>
  </si>
  <si>
    <t>Storage Area</t>
  </si>
  <si>
    <t>Dormer</t>
  </si>
  <si>
    <t>Garage Wall</t>
  </si>
  <si>
    <t>Skylight Wall</t>
  </si>
  <si>
    <t>Pony Wall</t>
  </si>
  <si>
    <t>Column1</t>
  </si>
  <si>
    <t>Ductless Heatpump</t>
  </si>
  <si>
    <t>Hydronic FA</t>
  </si>
  <si>
    <t>Hydronic Radiant</t>
  </si>
  <si>
    <t>Atmospheric ignition</t>
  </si>
  <si>
    <t>Atmospheric pilot</t>
  </si>
  <si>
    <t>Heatpump</t>
  </si>
  <si>
    <t>Resistance FA</t>
  </si>
  <si>
    <t>Wall Unit</t>
  </si>
  <si>
    <t>Baseboard Resistance</t>
  </si>
  <si>
    <t>Open Cell Foam</t>
  </si>
  <si>
    <t>Closed Cell Foam</t>
  </si>
  <si>
    <t>Orientation</t>
  </si>
  <si>
    <t>Buffered Area</t>
  </si>
  <si>
    <t>Attached Bldg</t>
  </si>
  <si>
    <t>Fiberglass Batt</t>
  </si>
  <si>
    <t>Rock Wool</t>
  </si>
  <si>
    <t xml:space="preserve">Duct System </t>
  </si>
  <si>
    <t>Duct Part</t>
  </si>
  <si>
    <t>Conditioned Space</t>
  </si>
  <si>
    <t>R-Value</t>
  </si>
  <si>
    <t>Exterior Wall</t>
  </si>
  <si>
    <t>Ductless</t>
  </si>
  <si>
    <t>House Pressure</t>
  </si>
  <si>
    <t>Conditioned Square Footage</t>
  </si>
  <si>
    <t>ECM High</t>
  </si>
  <si>
    <t>ECM Regular</t>
  </si>
  <si>
    <t>Daylight</t>
  </si>
  <si>
    <t>Water Heater</t>
  </si>
  <si>
    <t>Fireplace</t>
  </si>
  <si>
    <t>Oven</t>
  </si>
  <si>
    <t>Bedrooms</t>
  </si>
  <si>
    <t>Fan Pr</t>
  </si>
  <si>
    <t>Baseline Pr</t>
  </si>
  <si>
    <t>Mike Gilbert</t>
  </si>
  <si>
    <t>Zane Goff</t>
  </si>
  <si>
    <t>Cameron MacLean</t>
  </si>
  <si>
    <t>Shawn Oneill</t>
  </si>
  <si>
    <t>James Sutton</t>
  </si>
  <si>
    <t>Ted Weintraut</t>
  </si>
  <si>
    <t>Tom Walther</t>
  </si>
  <si>
    <t>Solar PV</t>
  </si>
  <si>
    <t>Enclosed</t>
  </si>
  <si>
    <t>Tank</t>
  </si>
  <si>
    <t>Tankless</t>
  </si>
  <si>
    <t>Solar</t>
  </si>
  <si>
    <t>new</t>
  </si>
  <si>
    <t xml:space="preserve">Gravity </t>
  </si>
  <si>
    <t>Condensing</t>
  </si>
  <si>
    <t>Induced Draft</t>
  </si>
  <si>
    <t>DOMESTIC HOT WATER</t>
  </si>
  <si>
    <t>INSULATION ROOF/ATTIC</t>
  </si>
  <si>
    <t>INSULATION FLOOR</t>
  </si>
  <si>
    <t>INSULATION WALLS</t>
  </si>
  <si>
    <t xml:space="preserve">CO </t>
  </si>
  <si>
    <t>ATTIC VENTILATION</t>
  </si>
  <si>
    <t xml:space="preserve">Existing R </t>
  </si>
  <si>
    <t>N Hc</t>
  </si>
  <si>
    <t xml:space="preserve">Test In </t>
  </si>
  <si>
    <t>Test Out</t>
  </si>
  <si>
    <t xml:space="preserve">CFM 50 </t>
  </si>
  <si>
    <t>BAS</t>
  </si>
  <si>
    <t>Electric</t>
  </si>
  <si>
    <t>Gas</t>
  </si>
  <si>
    <t xml:space="preserve">DISTRIBUTION  &amp; DUCT LEAKAGE TEST </t>
  </si>
  <si>
    <t>Pass</t>
  </si>
  <si>
    <t>Gas Meter</t>
  </si>
  <si>
    <t>Gas line Outside</t>
  </si>
  <si>
    <t>Gas line Inside</t>
  </si>
  <si>
    <t>Heating system</t>
  </si>
  <si>
    <t>Customer Name</t>
  </si>
  <si>
    <t># of Stories</t>
  </si>
  <si>
    <t>Ceiling Height</t>
  </si>
  <si>
    <t>BUILDING MODEL / DEMOGRAPHICS</t>
  </si>
  <si>
    <t>Avg Ceiling Height</t>
  </si>
  <si>
    <t>Building Volume</t>
  </si>
  <si>
    <t>Manual Building Volume</t>
  </si>
  <si>
    <t>above</t>
  </si>
  <si>
    <t>back</t>
  </si>
  <si>
    <t>right</t>
  </si>
  <si>
    <t>none</t>
  </si>
  <si>
    <t>Construction</t>
  </si>
  <si>
    <t>front</t>
  </si>
  <si>
    <t xml:space="preserve">left </t>
  </si>
  <si>
    <t>platform</t>
  </si>
  <si>
    <t>balloon</t>
  </si>
  <si>
    <t>wood</t>
  </si>
  <si>
    <t>masonry</t>
  </si>
  <si>
    <t xml:space="preserve">below </t>
  </si>
  <si>
    <t>Roof Vents</t>
  </si>
  <si>
    <t>High</t>
  </si>
  <si>
    <t>Low</t>
  </si>
  <si>
    <t>Code</t>
  </si>
  <si>
    <t>None</t>
  </si>
  <si>
    <t>NA</t>
  </si>
  <si>
    <t>Condition</t>
  </si>
  <si>
    <t>Wood</t>
  </si>
  <si>
    <t>Vinyl</t>
  </si>
  <si>
    <t>Metal</t>
  </si>
  <si>
    <t>Good</t>
  </si>
  <si>
    <t>Fair</t>
  </si>
  <si>
    <t>Poor</t>
  </si>
  <si>
    <t>&gt;R38</t>
  </si>
  <si>
    <t>Medium</t>
  </si>
  <si>
    <t>Basement</t>
  </si>
  <si>
    <t>Crawlspace</t>
  </si>
  <si>
    <t>Conditioned</t>
  </si>
  <si>
    <t>Unconditioned</t>
  </si>
  <si>
    <t>Vented</t>
  </si>
  <si>
    <t>MVL Based on Volume</t>
  </si>
  <si>
    <t>MVL based on Occupants</t>
  </si>
  <si>
    <t>MVL based on bedrooms</t>
  </si>
  <si>
    <t>Volume</t>
  </si>
  <si>
    <t>ACHn</t>
  </si>
  <si>
    <t>MVL</t>
  </si>
  <si>
    <t>Test Out CFMn</t>
  </si>
  <si>
    <t>Mech. Ventilation Required (CFMn)</t>
  </si>
  <si>
    <t>Air Leakage Reduction CFM 50</t>
  </si>
  <si>
    <t>South</t>
  </si>
  <si>
    <t>North</t>
  </si>
  <si>
    <t>East</t>
  </si>
  <si>
    <t>West</t>
  </si>
  <si>
    <t>2nd Floor</t>
  </si>
  <si>
    <t>Main Floor</t>
  </si>
  <si>
    <t xml:space="preserve">Kneewall    </t>
  </si>
  <si>
    <t>50% Goal</t>
  </si>
  <si>
    <t>ACH 50</t>
  </si>
  <si>
    <t>Test In</t>
  </si>
  <si>
    <t>Test  Out</t>
  </si>
  <si>
    <t>Worst Case</t>
  </si>
  <si>
    <t>Gas Leak Location</t>
  </si>
  <si>
    <t>Temp Rise</t>
  </si>
  <si>
    <t>Static Pressure</t>
  </si>
  <si>
    <t>Heat Exchanger Inspection</t>
  </si>
  <si>
    <t>AIR LEAKAGE &amp; BLOWER DOOR TEST</t>
  </si>
  <si>
    <t>Sealed</t>
  </si>
  <si>
    <t>Power vent</t>
  </si>
  <si>
    <t>B vent</t>
  </si>
  <si>
    <t>Single wall</t>
  </si>
  <si>
    <t>Disconnect</t>
  </si>
  <si>
    <t>Common Vent</t>
  </si>
  <si>
    <t>Hammer and Hand</t>
  </si>
  <si>
    <t>Plastic</t>
  </si>
  <si>
    <t>Composite</t>
  </si>
  <si>
    <t xml:space="preserve">Flat </t>
  </si>
  <si>
    <t>Asphalt</t>
  </si>
  <si>
    <t>Masonry</t>
  </si>
  <si>
    <t>Shake</t>
  </si>
  <si>
    <t>Gas Log</t>
  </si>
  <si>
    <t>Pellet Stove</t>
  </si>
  <si>
    <t>Propane</t>
  </si>
  <si>
    <t>Gas insert</t>
  </si>
  <si>
    <t>Woodstove</t>
  </si>
  <si>
    <t xml:space="preserve">Central </t>
  </si>
  <si>
    <t>Window unit</t>
  </si>
  <si>
    <t>Hardiplank</t>
  </si>
  <si>
    <t>Cedar shake</t>
  </si>
  <si>
    <t>Aluminum</t>
  </si>
  <si>
    <t>Brick</t>
  </si>
  <si>
    <t>Stucco</t>
  </si>
  <si>
    <t>System Airflow (CFM)</t>
  </si>
  <si>
    <t>Calculated Airflow</t>
  </si>
  <si>
    <t>Measure Airflow</t>
  </si>
  <si>
    <t>Hours / day Required</t>
  </si>
  <si>
    <t>Fan #4</t>
  </si>
  <si>
    <t>Bathroom</t>
  </si>
  <si>
    <t>Balanced Energy Solutions</t>
  </si>
  <si>
    <t>Occupants</t>
  </si>
  <si>
    <t>bedrooms</t>
  </si>
  <si>
    <t>Most Restrictive MVL:</t>
  </si>
  <si>
    <t>N Factor</t>
  </si>
  <si>
    <t>Stories</t>
  </si>
  <si>
    <t>Height Corr.</t>
  </si>
  <si>
    <t>Fan Pressure</t>
  </si>
  <si>
    <t>Ring</t>
  </si>
  <si>
    <t>Open</t>
  </si>
  <si>
    <t>A</t>
  </si>
  <si>
    <t>B</t>
  </si>
  <si>
    <t>Return Grill</t>
  </si>
  <si>
    <t>Air Handler</t>
  </si>
  <si>
    <t>ACH50</t>
  </si>
  <si>
    <t>Brand</t>
  </si>
  <si>
    <t>Type</t>
  </si>
  <si>
    <t>Fuel</t>
  </si>
  <si>
    <t>Model #</t>
  </si>
  <si>
    <t>Serial #</t>
  </si>
  <si>
    <t>Age</t>
  </si>
  <si>
    <t>Input Btu</t>
  </si>
  <si>
    <t>Output Btu</t>
  </si>
  <si>
    <t>AFUE/HSPF</t>
  </si>
  <si>
    <t>SSE</t>
  </si>
  <si>
    <t>Location</t>
  </si>
  <si>
    <t>Gallons</t>
  </si>
  <si>
    <t xml:space="preserve">Fuel </t>
  </si>
  <si>
    <t>DHW #1</t>
  </si>
  <si>
    <t>DHW #2</t>
  </si>
  <si>
    <t>Tested cfm</t>
  </si>
  <si>
    <t>Windows</t>
  </si>
  <si>
    <t>EF</t>
  </si>
  <si>
    <t>Temp</t>
  </si>
  <si>
    <t>Garage</t>
  </si>
  <si>
    <t>Attic</t>
  </si>
  <si>
    <t>Closet</t>
  </si>
  <si>
    <t>Exterior</t>
  </si>
  <si>
    <t>Laundry</t>
  </si>
  <si>
    <t>Inches</t>
  </si>
  <si>
    <t>Proposed R</t>
  </si>
  <si>
    <t>Cavity Size</t>
  </si>
  <si>
    <t>Square Ft</t>
  </si>
  <si>
    <t>Open/Enclosed</t>
  </si>
  <si>
    <t>Quality</t>
  </si>
  <si>
    <t>Fiberglass Blown</t>
  </si>
  <si>
    <t>Vermiculite</t>
  </si>
  <si>
    <t>Denim</t>
  </si>
  <si>
    <t>Vault</t>
  </si>
  <si>
    <t>2X4</t>
  </si>
  <si>
    <t>2X6</t>
  </si>
  <si>
    <t>2X8</t>
  </si>
  <si>
    <t>2x10</t>
  </si>
  <si>
    <t>2x12</t>
  </si>
  <si>
    <t>Imagine Energy</t>
  </si>
  <si>
    <t>Home Visions West</t>
  </si>
  <si>
    <t>Bull Mtn Mechanical</t>
  </si>
  <si>
    <t>Heat Relief</t>
  </si>
  <si>
    <t>Green Hammer</t>
  </si>
  <si>
    <t>5 years</t>
  </si>
  <si>
    <t>10 years</t>
  </si>
  <si>
    <t>15 years</t>
  </si>
  <si>
    <t>20 years</t>
  </si>
  <si>
    <t>25 years</t>
  </si>
  <si>
    <t>30 years</t>
  </si>
  <si>
    <t>Framing</t>
  </si>
  <si>
    <t>CFM50</t>
  </si>
  <si>
    <t>Jason Elton</t>
  </si>
  <si>
    <t>Green Savers</t>
  </si>
  <si>
    <t>Cellulose</t>
  </si>
  <si>
    <t>R18 - R39</t>
  </si>
  <si>
    <t>&lt;R18</t>
  </si>
  <si>
    <t>Foam Board</t>
  </si>
  <si>
    <t>Overhang</t>
  </si>
  <si>
    <t>Porch</t>
  </si>
  <si>
    <t xml:space="preserve">Location </t>
  </si>
  <si>
    <t xml:space="preserve">Insulation </t>
  </si>
  <si>
    <t>Proposed</t>
  </si>
  <si>
    <t>Rafter</t>
  </si>
  <si>
    <t>SW</t>
  </si>
  <si>
    <t>SE</t>
  </si>
  <si>
    <t>NW</t>
  </si>
  <si>
    <t>Kitchen</t>
  </si>
  <si>
    <t>Utility</t>
  </si>
  <si>
    <t>Hallway</t>
  </si>
  <si>
    <t>House</t>
  </si>
  <si>
    <t>Net</t>
  </si>
  <si>
    <t>Draft (Pa)</t>
  </si>
  <si>
    <t>Stack Temp</t>
  </si>
  <si>
    <t>Spillage W</t>
  </si>
  <si>
    <t>Spillage N</t>
  </si>
  <si>
    <t xml:space="preserve">Other </t>
  </si>
  <si>
    <t>% Sqft</t>
  </si>
  <si>
    <t>All Electric Appliances?</t>
  </si>
  <si>
    <t>Other</t>
  </si>
  <si>
    <t>notes</t>
  </si>
  <si>
    <t xml:space="preserve"> Fan #2</t>
  </si>
  <si>
    <t>Fan #3</t>
  </si>
  <si>
    <t>CAZ Depressurization Limits</t>
  </si>
  <si>
    <t xml:space="preserve">Orphan natural Draft Water Heater </t>
  </si>
  <si>
    <t>Natural Draft boiler or furnace commonly vented with water heater</t>
  </si>
  <si>
    <t>Natural Draft boiler or furnace with damper commonly vented with water heater</t>
  </si>
  <si>
    <t>Individual natural draft boiler or furnace</t>
  </si>
  <si>
    <t>Power vented or induced draft boiler or furnace alone, or fan assisted DHW alone</t>
  </si>
  <si>
    <t>Direct vented appliances; Seal Combustion appliances</t>
  </si>
  <si>
    <t>Induced draft boiler or furnace commonly vented with water heater</t>
  </si>
  <si>
    <t>Reg Velocity</t>
  </si>
  <si>
    <t>High Velocity</t>
  </si>
  <si>
    <t>Gravity</t>
  </si>
  <si>
    <t>Supply</t>
  </si>
  <si>
    <t>Return</t>
  </si>
  <si>
    <t xml:space="preserve">Ring </t>
  </si>
  <si>
    <t>Dan Saddler</t>
  </si>
  <si>
    <t>GreenSavers</t>
  </si>
  <si>
    <t xml:space="preserve">Portland </t>
  </si>
  <si>
    <t>David Fittipaldi</t>
  </si>
  <si>
    <t>3637 NE Sandy Blvd.</t>
  </si>
  <si>
    <t>97232</t>
  </si>
  <si>
    <t>503.223.8767</t>
  </si>
  <si>
    <t xml:space="preserve"> </t>
  </si>
  <si>
    <t>All ducts in conditioned space</t>
  </si>
  <si>
    <t>Will install CO Monitor when job is complete</t>
  </si>
  <si>
    <t>these are existing</t>
  </si>
  <si>
    <t>Ted Weintrout</t>
  </si>
  <si>
    <t>BFG1F4034T3NOV</t>
  </si>
  <si>
    <t>0822T427732</t>
  </si>
  <si>
    <t>3204-80HD</t>
  </si>
  <si>
    <t>F2974CN3D008-003116</t>
  </si>
  <si>
    <t>remove old batts</t>
  </si>
  <si>
    <t>below rim joist above fnd wall 3' high</t>
  </si>
  <si>
    <t>1222 sq ft total before doors and windows</t>
  </si>
  <si>
    <t>foam board w spray foam attic floor perimeter floor</t>
  </si>
  <si>
    <t>to be installed</t>
  </si>
  <si>
    <t>Must access from exterior wall</t>
  </si>
  <si>
    <t>back addition must access from exterior roof</t>
  </si>
  <si>
    <t>Main house rim joist foam bd w spray foam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</si>
</sst>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5" formatCode="&quot;$&quot;#,##0_);\(&quot;$&quot;#,##0\)"/>
    <numFmt numFmtId="43" formatCode="_(* #,##0.00_);_(* \(#,##0.00\);_(* &quot;-&quot;??_);_(@_)"/>
    <numFmt numFmtId="164" formatCode="0.0"/>
    <numFmt numFmtId="165" formatCode="0.000"/>
    <numFmt numFmtId="166" formatCode="[$-409]m/d/yy\ h:mm\ AM/PM;@"/>
    <numFmt numFmtId="167" formatCode="00000"/>
    <numFmt numFmtId="168" formatCode="[$-409]mmmm\ d\,\ yyyy;@"/>
    <numFmt numFmtId="169" formatCode="&quot;$&quot;#,##0.00"/>
    <numFmt numFmtId="170" formatCode="0.0%"/>
    <numFmt numFmtId="171" formatCode="m/d/yy;@"/>
  </numFmts>
  <fonts count="25" x14ac:knownFonts="1">
    <font>
      <sz val="10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4"/>
      <name val="Times New Roman"/>
      <family val="1"/>
    </font>
    <font>
      <b/>
      <sz val="16"/>
      <name val="Times New Roman"/>
      <family val="1"/>
    </font>
    <font>
      <sz val="10"/>
      <name val="Arial"/>
      <family val="2"/>
    </font>
    <font>
      <sz val="10"/>
      <name val="Courier"/>
      <family val="3"/>
    </font>
    <font>
      <sz val="12"/>
      <name val="Times New Roman"/>
      <family val="1"/>
    </font>
    <font>
      <b/>
      <sz val="26"/>
      <name val="Times New Roman"/>
      <family val="1"/>
    </font>
    <font>
      <b/>
      <sz val="20"/>
      <name val="Times New Roman"/>
      <family val="1"/>
    </font>
    <font>
      <b/>
      <sz val="18"/>
      <name val="Times New Roman"/>
      <family val="1"/>
    </font>
    <font>
      <b/>
      <vertAlign val="subscript"/>
      <sz val="20"/>
      <name val="Times New Roman"/>
      <family val="1"/>
    </font>
    <font>
      <sz val="9"/>
      <color indexed="8"/>
      <name val="Arial"/>
      <family val="2"/>
    </font>
    <font>
      <b/>
      <sz val="12"/>
      <color indexed="9"/>
      <name val="Times New Roman"/>
      <family val="1"/>
    </font>
    <font>
      <sz val="14"/>
      <name val="Times New Roman"/>
      <family val="1"/>
    </font>
    <font>
      <b/>
      <vertAlign val="subscript"/>
      <sz val="12"/>
      <name val="Times New Roman"/>
      <family val="1"/>
    </font>
    <font>
      <b/>
      <sz val="12"/>
      <color indexed="10"/>
      <name val="Times New Roman"/>
      <family val="1"/>
    </font>
    <font>
      <sz val="12"/>
      <color indexed="9"/>
      <name val="Times New Roman"/>
      <family val="1"/>
    </font>
    <font>
      <b/>
      <sz val="12"/>
      <color indexed="8"/>
      <name val="Times New Roman"/>
      <family val="1"/>
    </font>
    <font>
      <b/>
      <vertAlign val="superscript"/>
      <sz val="12"/>
      <name val="Times New Roman"/>
      <family val="1"/>
    </font>
    <font>
      <sz val="12"/>
      <color indexed="22"/>
      <name val="Times New Roman"/>
      <family val="1"/>
    </font>
    <font>
      <sz val="8"/>
      <name val="Verdana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indexed="31"/>
        <bgColor indexed="64"/>
      </patternFill>
    </fill>
  </fills>
  <borders count="58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48"/>
      </left>
      <right style="thick">
        <color indexed="48"/>
      </right>
      <top style="thick">
        <color indexed="48"/>
      </top>
      <bottom style="thick">
        <color indexed="48"/>
      </bottom>
      <diagonal/>
    </border>
    <border>
      <left style="medium">
        <color indexed="48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/>
      <right/>
      <top/>
      <bottom style="medium">
        <color auto="1"/>
      </bottom>
      <diagonal/>
    </border>
    <border>
      <left style="medium">
        <color indexed="4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48"/>
      </left>
      <right style="thick">
        <color indexed="48"/>
      </right>
      <top style="thick">
        <color indexed="48"/>
      </top>
      <bottom style="thin">
        <color auto="1"/>
      </bottom>
      <diagonal/>
    </border>
    <border>
      <left style="thick">
        <color indexed="48"/>
      </left>
      <right style="thick">
        <color indexed="48"/>
      </right>
      <top style="thin">
        <color auto="1"/>
      </top>
      <bottom style="thin">
        <color auto="1"/>
      </bottom>
      <diagonal/>
    </border>
    <border>
      <left style="thick">
        <color indexed="48"/>
      </left>
      <right style="thick">
        <color indexed="48"/>
      </right>
      <top style="thin">
        <color auto="1"/>
      </top>
      <bottom style="thick">
        <color indexed="48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/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 style="dashed">
        <color auto="1"/>
      </top>
      <bottom/>
      <diagonal/>
    </border>
    <border>
      <left/>
      <right style="medium">
        <color indexed="48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48"/>
      </left>
      <right style="thin">
        <color auto="1"/>
      </right>
      <top style="medium">
        <color indexed="48"/>
      </top>
      <bottom style="medium">
        <color indexed="48"/>
      </bottom>
      <diagonal/>
    </border>
    <border>
      <left style="thin">
        <color auto="1"/>
      </left>
      <right style="medium">
        <color indexed="48"/>
      </right>
      <top style="medium">
        <color indexed="48"/>
      </top>
      <bottom style="medium">
        <color indexed="4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dashed">
        <color auto="1"/>
      </bottom>
      <diagonal/>
    </border>
    <border>
      <left/>
      <right/>
      <top/>
      <bottom style="dashed">
        <color auto="1"/>
      </bottom>
      <diagonal/>
    </border>
    <border>
      <left/>
      <right style="thin">
        <color auto="1"/>
      </right>
      <top/>
      <bottom style="dashed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48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5" fontId="9" fillId="0" borderId="0"/>
  </cellStyleXfs>
  <cellXfs count="486">
    <xf numFmtId="0" fontId="0" fillId="0" borderId="0" xfId="0"/>
    <xf numFmtId="0" fontId="2" fillId="0" borderId="1" xfId="0" applyFont="1" applyFill="1" applyBorder="1" applyAlignment="1" applyProtection="1">
      <alignment horizontal="center" shrinkToFit="1"/>
    </xf>
    <xf numFmtId="0" fontId="2" fillId="0" borderId="5" xfId="0" applyFont="1" applyFill="1" applyBorder="1" applyAlignment="1" applyProtection="1">
      <alignment horizontal="center" shrinkToFit="1"/>
    </xf>
    <xf numFmtId="0" fontId="1" fillId="0" borderId="0" xfId="0" applyFont="1" applyFill="1" applyProtection="1"/>
    <xf numFmtId="0" fontId="1" fillId="0" borderId="0" xfId="0" applyFont="1" applyFill="1" applyProtection="1">
      <protection locked="0"/>
    </xf>
    <xf numFmtId="9" fontId="1" fillId="0" borderId="0" xfId="0" applyNumberFormat="1" applyFont="1" applyFill="1" applyProtection="1"/>
    <xf numFmtId="0" fontId="5" fillId="0" borderId="0" xfId="0" applyFont="1" applyFill="1" applyProtection="1"/>
    <xf numFmtId="0" fontId="5" fillId="0" borderId="0" xfId="0" applyFont="1"/>
    <xf numFmtId="0" fontId="3" fillId="0" borderId="0" xfId="0" applyFont="1"/>
    <xf numFmtId="0" fontId="2" fillId="0" borderId="0" xfId="0" applyFont="1" applyFill="1" applyBorder="1" applyAlignment="1" applyProtection="1">
      <alignment shrinkToFit="1"/>
    </xf>
    <xf numFmtId="0" fontId="2" fillId="0" borderId="0" xfId="0" applyFont="1" applyFill="1" applyAlignment="1" applyProtection="1"/>
    <xf numFmtId="0" fontId="2" fillId="0" borderId="0" xfId="0" applyFont="1" applyBorder="1" applyAlignment="1" applyProtection="1">
      <alignment vertical="justify"/>
    </xf>
    <xf numFmtId="0" fontId="8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/>
    <xf numFmtId="0" fontId="4" fillId="0" borderId="0" xfId="2" applyNumberFormat="1" applyFont="1" applyFill="1" applyBorder="1" applyAlignment="1" applyProtection="1">
      <alignment vertical="center"/>
    </xf>
    <xf numFmtId="2" fontId="2" fillId="5" borderId="7" xfId="0" applyNumberFormat="1" applyFont="1" applyFill="1" applyBorder="1" applyAlignment="1" applyProtection="1">
      <alignment horizontal="right"/>
    </xf>
    <xf numFmtId="169" fontId="2" fillId="0" borderId="55" xfId="0" applyNumberFormat="1" applyFont="1" applyFill="1" applyBorder="1" applyAlignment="1" applyProtection="1">
      <alignment horizontal="center"/>
      <protection locked="0"/>
    </xf>
    <xf numFmtId="169" fontId="2" fillId="0" borderId="55" xfId="0" applyNumberFormat="1" applyFont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 shrinkToFit="1"/>
      <protection locked="0"/>
    </xf>
    <xf numFmtId="0" fontId="6" fillId="0" borderId="0" xfId="0" applyFont="1" applyFill="1" applyBorder="1" applyAlignment="1" applyProtection="1">
      <alignment shrinkToFit="1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Fill="1" applyBorder="1" applyAlignment="1" applyProtection="1">
      <alignment horizontal="center" shrinkToFit="1"/>
    </xf>
    <xf numFmtId="0" fontId="12" fillId="7" borderId="0" xfId="0" applyFont="1" applyFill="1" applyBorder="1" applyAlignment="1">
      <alignment horizontal="center" shrinkToFit="1"/>
    </xf>
    <xf numFmtId="0" fontId="7" fillId="0" borderId="0" xfId="0" applyFont="1" applyFill="1" applyBorder="1" applyAlignment="1" applyProtection="1">
      <alignment horizontal="center" shrinkToFit="1"/>
      <protection locked="0"/>
    </xf>
    <xf numFmtId="1" fontId="7" fillId="0" borderId="0" xfId="0" applyNumberFormat="1" applyFont="1" applyFill="1" applyBorder="1" applyAlignment="1" applyProtection="1">
      <alignment horizontal="center" shrinkToFit="1"/>
    </xf>
    <xf numFmtId="1" fontId="7" fillId="0" borderId="0" xfId="0" applyNumberFormat="1" applyFont="1" applyFill="1" applyBorder="1" applyAlignment="1" applyProtection="1">
      <alignment horizontal="center" shrinkToFit="1"/>
      <protection locked="0"/>
    </xf>
    <xf numFmtId="0" fontId="6" fillId="0" borderId="0" xfId="0" applyFont="1" applyAlignment="1">
      <alignment horizontal="center"/>
    </xf>
    <xf numFmtId="0" fontId="13" fillId="0" borderId="0" xfId="0" applyFont="1" applyAlignment="1">
      <alignment horizontal="right"/>
    </xf>
    <xf numFmtId="0" fontId="6" fillId="0" borderId="0" xfId="0" applyFont="1" applyBorder="1" applyAlignment="1">
      <alignment horizontal="center"/>
    </xf>
    <xf numFmtId="14" fontId="6" fillId="0" borderId="0" xfId="0" applyNumberFormat="1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0" fillId="0" borderId="0" xfId="0" applyFill="1"/>
    <xf numFmtId="0" fontId="4" fillId="0" borderId="0" xfId="2" applyNumberFormat="1" applyFont="1" applyFill="1" applyBorder="1" applyAlignment="1" applyProtection="1">
      <alignment vertical="center" wrapText="1"/>
    </xf>
    <xf numFmtId="0" fontId="2" fillId="0" borderId="0" xfId="0" applyFont="1" applyFill="1" applyAlignment="1" applyProtection="1">
      <alignment horizontal="center"/>
    </xf>
    <xf numFmtId="0" fontId="2" fillId="6" borderId="3" xfId="0" applyFont="1" applyFill="1" applyBorder="1" applyAlignment="1" applyProtection="1"/>
    <xf numFmtId="0" fontId="2" fillId="0" borderId="0" xfId="0" applyFont="1" applyFill="1" applyBorder="1" applyAlignment="1" applyProtection="1">
      <alignment horizontal="center" shrinkToFit="1"/>
    </xf>
    <xf numFmtId="0" fontId="2" fillId="0" borderId="0" xfId="0" applyFont="1" applyFill="1" applyAlignment="1" applyProtection="1">
      <alignment horizontal="center" wrapText="1"/>
    </xf>
    <xf numFmtId="0" fontId="2" fillId="5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shrinkToFit="1"/>
      <protection locked="0"/>
    </xf>
    <xf numFmtId="0" fontId="10" fillId="0" borderId="0" xfId="0" applyFont="1" applyFill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</xf>
    <xf numFmtId="0" fontId="10" fillId="4" borderId="3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6" borderId="3" xfId="0" applyFont="1" applyFill="1" applyBorder="1" applyAlignment="1" applyProtection="1">
      <alignment horizontal="center" shrinkToFit="1"/>
    </xf>
    <xf numFmtId="0" fontId="2" fillId="6" borderId="10" xfId="0" applyFont="1" applyFill="1" applyBorder="1" applyAlignment="1" applyProtection="1">
      <alignment horizontal="center" shrinkToFit="1"/>
    </xf>
    <xf numFmtId="0" fontId="2" fillId="6" borderId="3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  <protection locked="0"/>
    </xf>
    <xf numFmtId="0" fontId="10" fillId="4" borderId="7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10" fillId="0" borderId="7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</xf>
    <xf numFmtId="0" fontId="16" fillId="0" borderId="0" xfId="0" applyFont="1" applyFill="1" applyProtection="1"/>
    <xf numFmtId="0" fontId="10" fillId="0" borderId="0" xfId="0" applyFont="1" applyFill="1" applyAlignment="1" applyProtection="1">
      <alignment horizontal="left"/>
    </xf>
    <xf numFmtId="0" fontId="2" fillId="4" borderId="3" xfId="0" applyFont="1" applyFill="1" applyBorder="1" applyAlignment="1" applyProtection="1">
      <alignment horizontal="center" shrinkToFit="1"/>
      <protection locked="0"/>
    </xf>
    <xf numFmtId="9" fontId="10" fillId="4" borderId="3" xfId="0" applyNumberFormat="1" applyFont="1" applyFill="1" applyBorder="1" applyAlignment="1" applyProtection="1">
      <alignment horizontal="center"/>
      <protection locked="0"/>
    </xf>
    <xf numFmtId="0" fontId="10" fillId="0" borderId="3" xfId="0" applyFont="1" applyFill="1" applyBorder="1" applyAlignment="1" applyProtection="1">
      <protection locked="0"/>
    </xf>
    <xf numFmtId="9" fontId="10" fillId="0" borderId="3" xfId="0" applyNumberFormat="1" applyFont="1" applyFill="1" applyBorder="1" applyAlignment="1" applyProtection="1">
      <alignment horizontal="center"/>
      <protection locked="0"/>
    </xf>
    <xf numFmtId="0" fontId="2" fillId="6" borderId="3" xfId="0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/>
    </xf>
    <xf numFmtId="0" fontId="2" fillId="6" borderId="10" xfId="0" applyFont="1" applyFill="1" applyBorder="1" applyAlignment="1" applyProtection="1">
      <alignment horizontal="center" wrapText="1"/>
    </xf>
    <xf numFmtId="0" fontId="2" fillId="6" borderId="15" xfId="0" applyFont="1" applyFill="1" applyBorder="1" applyAlignment="1" applyProtection="1">
      <alignment horizontal="center" wrapText="1"/>
    </xf>
    <xf numFmtId="0" fontId="2" fillId="6" borderId="18" xfId="0" applyFont="1" applyFill="1" applyBorder="1" applyAlignment="1" applyProtection="1">
      <alignment horizontal="center" wrapText="1"/>
    </xf>
    <xf numFmtId="0" fontId="2" fillId="6" borderId="17" xfId="0" applyFont="1" applyFill="1" applyBorder="1" applyAlignment="1" applyProtection="1">
      <alignment horizontal="center" wrapText="1"/>
    </xf>
    <xf numFmtId="0" fontId="2" fillId="0" borderId="18" xfId="0" applyFont="1" applyFill="1" applyBorder="1" applyAlignment="1" applyProtection="1">
      <alignment horizontal="center"/>
    </xf>
    <xf numFmtId="0" fontId="2" fillId="0" borderId="17" xfId="0" applyFont="1" applyFill="1" applyBorder="1" applyAlignment="1" applyProtection="1">
      <alignment horizontal="center" shrinkToFit="1"/>
    </xf>
    <xf numFmtId="0" fontId="2" fillId="0" borderId="18" xfId="0" applyFont="1" applyFill="1" applyBorder="1" applyAlignment="1" applyProtection="1">
      <alignment horizontal="center" shrinkToFit="1"/>
    </xf>
    <xf numFmtId="0" fontId="2" fillId="0" borderId="2" xfId="0" applyFont="1" applyFill="1" applyBorder="1" applyAlignment="1" applyProtection="1">
      <alignment horizontal="center"/>
    </xf>
    <xf numFmtId="1" fontId="10" fillId="0" borderId="3" xfId="0" applyNumberFormat="1" applyFont="1" applyFill="1" applyBorder="1" applyAlignment="1" applyProtection="1">
      <alignment horizontal="center"/>
    </xf>
    <xf numFmtId="1" fontId="10" fillId="0" borderId="10" xfId="0" applyNumberFormat="1" applyFont="1" applyFill="1" applyBorder="1" applyAlignment="1" applyProtection="1">
      <alignment horizontal="center"/>
    </xf>
    <xf numFmtId="0" fontId="10" fillId="0" borderId="10" xfId="0" applyFont="1" applyFill="1" applyBorder="1" applyAlignment="1" applyProtection="1">
      <alignment horizontal="center"/>
    </xf>
    <xf numFmtId="1" fontId="10" fillId="0" borderId="18" xfId="0" applyNumberFormat="1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shrinkToFit="1"/>
    </xf>
    <xf numFmtId="0" fontId="2" fillId="0" borderId="3" xfId="0" applyFont="1" applyFill="1" applyBorder="1" applyAlignment="1" applyProtection="1">
      <alignment horizontal="center" shrinkToFit="1"/>
    </xf>
    <xf numFmtId="170" fontId="10" fillId="0" borderId="3" xfId="0" applyNumberFormat="1" applyFont="1" applyFill="1" applyBorder="1" applyAlignment="1" applyProtection="1">
      <alignment horizontal="center"/>
    </xf>
    <xf numFmtId="0" fontId="10" fillId="0" borderId="18" xfId="0" applyFont="1" applyFill="1" applyBorder="1" applyAlignment="1" applyProtection="1">
      <alignment horizontal="center"/>
    </xf>
    <xf numFmtId="2" fontId="10" fillId="0" borderId="3" xfId="0" applyNumberFormat="1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/>
    <xf numFmtId="0" fontId="2" fillId="0" borderId="7" xfId="0" applyFont="1" applyFill="1" applyBorder="1" applyAlignment="1" applyProtection="1">
      <alignment horizontal="center"/>
    </xf>
    <xf numFmtId="164" fontId="10" fillId="0" borderId="11" xfId="0" applyNumberFormat="1" applyFont="1" applyFill="1" applyBorder="1" applyAlignment="1" applyProtection="1">
      <alignment horizontal="center"/>
    </xf>
    <xf numFmtId="164" fontId="10" fillId="0" borderId="3" xfId="0" applyNumberFormat="1" applyFont="1" applyFill="1" applyBorder="1" applyAlignment="1" applyProtection="1">
      <alignment horizontal="center"/>
    </xf>
    <xf numFmtId="2" fontId="10" fillId="0" borderId="0" xfId="0" applyNumberFormat="1" applyFont="1" applyFill="1" applyBorder="1" applyAlignment="1" applyProtection="1">
      <alignment horizontal="center"/>
    </xf>
    <xf numFmtId="1" fontId="2" fillId="0" borderId="3" xfId="0" applyNumberFormat="1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0" xfId="0" applyFont="1" applyProtection="1"/>
    <xf numFmtId="0" fontId="2" fillId="0" borderId="0" xfId="0" applyFont="1" applyBorder="1" applyAlignment="1" applyProtection="1">
      <alignment horizontal="center" vertical="justify"/>
    </xf>
    <xf numFmtId="0" fontId="2" fillId="0" borderId="0" xfId="0" applyFont="1" applyAlignment="1" applyProtection="1">
      <alignment horizontal="center"/>
    </xf>
    <xf numFmtId="0" fontId="10" fillId="0" borderId="0" xfId="0" applyFont="1" applyProtection="1"/>
    <xf numFmtId="0" fontId="10" fillId="0" borderId="0" xfId="0" applyFont="1" applyAlignment="1" applyProtection="1">
      <alignment horizontal="left" indent="4"/>
    </xf>
    <xf numFmtId="0" fontId="10" fillId="0" borderId="0" xfId="0" applyFont="1" applyFill="1" applyBorder="1" applyProtection="1"/>
    <xf numFmtId="0" fontId="2" fillId="0" borderId="2" xfId="0" applyFont="1" applyFill="1" applyBorder="1" applyAlignment="1" applyProtection="1">
      <alignment horizontal="center" wrapText="1"/>
    </xf>
    <xf numFmtId="0" fontId="10" fillId="0" borderId="7" xfId="0" quotePrefix="1" applyFont="1" applyFill="1" applyBorder="1" applyAlignment="1" applyProtection="1">
      <alignment horizontal="center"/>
    </xf>
    <xf numFmtId="0" fontId="10" fillId="0" borderId="2" xfId="0" applyFont="1" applyFill="1" applyBorder="1" applyAlignment="1" applyProtection="1">
      <alignment horizontal="center"/>
    </xf>
    <xf numFmtId="0" fontId="10" fillId="0" borderId="19" xfId="0" applyFont="1" applyFill="1" applyBorder="1" applyAlignment="1" applyProtection="1">
      <alignment horizontal="center"/>
      <protection locked="0"/>
    </xf>
    <xf numFmtId="2" fontId="10" fillId="0" borderId="11" xfId="0" applyNumberFormat="1" applyFont="1" applyFill="1" applyBorder="1" applyAlignment="1" applyProtection="1">
      <alignment horizontal="center"/>
    </xf>
    <xf numFmtId="2" fontId="10" fillId="0" borderId="2" xfId="0" applyNumberFormat="1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>
      <alignment horizontal="center"/>
    </xf>
    <xf numFmtId="0" fontId="10" fillId="0" borderId="0" xfId="0" applyFont="1" applyFill="1" applyProtection="1"/>
    <xf numFmtId="0" fontId="10" fillId="0" borderId="2" xfId="0" applyFont="1" applyFill="1" applyBorder="1" applyProtection="1"/>
    <xf numFmtId="1" fontId="10" fillId="0" borderId="3" xfId="0" applyNumberFormat="1" applyFont="1" applyFill="1" applyBorder="1" applyAlignment="1" applyProtection="1">
      <alignment horizontal="center"/>
      <protection locked="0"/>
    </xf>
    <xf numFmtId="1" fontId="10" fillId="0" borderId="3" xfId="0" applyNumberFormat="1" applyFont="1" applyFill="1" applyBorder="1" applyAlignment="1" applyProtection="1">
      <alignment horizontal="center" wrapText="1"/>
      <protection locked="0"/>
    </xf>
    <xf numFmtId="1" fontId="10" fillId="0" borderId="7" xfId="0" applyNumberFormat="1" applyFont="1" applyFill="1" applyBorder="1" applyAlignment="1" applyProtection="1">
      <alignment horizontal="center"/>
      <protection locked="0"/>
    </xf>
    <xf numFmtId="1" fontId="10" fillId="0" borderId="19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 vertical="top" shrinkToFit="1"/>
    </xf>
    <xf numFmtId="0" fontId="10" fillId="0" borderId="0" xfId="0" applyFont="1" applyBorder="1" applyProtection="1"/>
    <xf numFmtId="0" fontId="10" fillId="0" borderId="5" xfId="0" applyFont="1" applyFill="1" applyBorder="1" applyAlignment="1" applyProtection="1">
      <alignment horizontal="center"/>
      <protection locked="0"/>
    </xf>
    <xf numFmtId="0" fontId="10" fillId="0" borderId="11" xfId="0" applyFont="1" applyFill="1" applyBorder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wrapText="1"/>
    </xf>
    <xf numFmtId="0" fontId="16" fillId="0" borderId="0" xfId="0" applyFont="1" applyFill="1" applyAlignment="1" applyProtection="1">
      <alignment horizontal="center"/>
    </xf>
    <xf numFmtId="0" fontId="16" fillId="0" borderId="0" xfId="0" applyFont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vertical="center" shrinkToFit="1"/>
    </xf>
    <xf numFmtId="0" fontId="10" fillId="0" borderId="0" xfId="0" applyFont="1" applyAlignment="1" applyProtection="1">
      <alignment horizontal="left"/>
    </xf>
    <xf numFmtId="0" fontId="7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10" fillId="4" borderId="20" xfId="0" applyFont="1" applyFill="1" applyBorder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 wrapText="1"/>
      <protection locked="0"/>
    </xf>
    <xf numFmtId="0" fontId="10" fillId="4" borderId="3" xfId="0" applyFont="1" applyFill="1" applyBorder="1" applyAlignment="1" applyProtection="1">
      <alignment horizontal="center" shrinkToFit="1"/>
      <protection locked="0"/>
    </xf>
    <xf numFmtId="0" fontId="2" fillId="5" borderId="10" xfId="0" applyFont="1" applyFill="1" applyBorder="1" applyAlignment="1" applyProtection="1">
      <alignment horizontal="center" vertical="center" wrapText="1" shrinkToFit="1"/>
      <protection locked="0"/>
    </xf>
    <xf numFmtId="0" fontId="2" fillId="5" borderId="3" xfId="0" applyFont="1" applyFill="1" applyBorder="1" applyAlignment="1" applyProtection="1">
      <alignment horizontal="center" wrapText="1" shrinkToFit="1"/>
      <protection locked="0"/>
    </xf>
    <xf numFmtId="0" fontId="2" fillId="5" borderId="3" xfId="0" applyFont="1" applyFill="1" applyBorder="1" applyAlignment="1" applyProtection="1">
      <alignment horizontal="center" wrapText="1" shrinkToFit="1"/>
    </xf>
    <xf numFmtId="0" fontId="2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16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164" fontId="2" fillId="0" borderId="3" xfId="0" applyNumberFormat="1" applyFont="1" applyFill="1" applyBorder="1" applyAlignment="1" applyProtection="1">
      <alignment horizontal="center" vertical="center" wrapText="1"/>
    </xf>
    <xf numFmtId="0" fontId="2" fillId="0" borderId="15" xfId="0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Alignment="1" applyProtection="1">
      <alignment horizontal="center" wrapText="1"/>
    </xf>
    <xf numFmtId="0" fontId="2" fillId="0" borderId="10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 shrinkToFit="1"/>
    </xf>
    <xf numFmtId="0" fontId="2" fillId="0" borderId="14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center"/>
    </xf>
    <xf numFmtId="1" fontId="10" fillId="0" borderId="7" xfId="0" applyNumberFormat="1" applyFont="1" applyFill="1" applyBorder="1" applyAlignment="1" applyProtection="1">
      <alignment horizontal="center"/>
    </xf>
    <xf numFmtId="0" fontId="10" fillId="0" borderId="16" xfId="0" applyFont="1" applyFill="1" applyBorder="1" applyAlignment="1" applyProtection="1">
      <alignment horizontal="center"/>
    </xf>
    <xf numFmtId="0" fontId="2" fillId="5" borderId="10" xfId="0" applyFont="1" applyFill="1" applyBorder="1" applyAlignment="1" applyProtection="1">
      <alignment horizontal="center"/>
    </xf>
    <xf numFmtId="0" fontId="2" fillId="5" borderId="10" xfId="0" applyFont="1" applyFill="1" applyBorder="1" applyAlignment="1" applyProtection="1">
      <alignment horizontal="center" wrapText="1" shrinkToFit="1"/>
    </xf>
    <xf numFmtId="9" fontId="2" fillId="5" borderId="3" xfId="0" applyNumberFormat="1" applyFont="1" applyFill="1" applyBorder="1" applyAlignment="1" applyProtection="1">
      <alignment horizontal="center"/>
    </xf>
    <xf numFmtId="0" fontId="2" fillId="5" borderId="7" xfId="0" applyFont="1" applyFill="1" applyBorder="1" applyAlignment="1" applyProtection="1">
      <alignment horizontal="center" wrapText="1"/>
    </xf>
    <xf numFmtId="0" fontId="2" fillId="5" borderId="3" xfId="0" applyFont="1" applyFill="1" applyBorder="1" applyAlignment="1" applyProtection="1">
      <alignment horizontal="center" wrapText="1"/>
    </xf>
    <xf numFmtId="1" fontId="10" fillId="0" borderId="11" xfId="0" applyNumberFormat="1" applyFont="1" applyFill="1" applyBorder="1" applyAlignment="1" applyProtection="1">
      <alignment horizontal="center"/>
    </xf>
    <xf numFmtId="1" fontId="10" fillId="0" borderId="3" xfId="0" applyNumberFormat="1" applyFont="1" applyFill="1" applyBorder="1" applyAlignment="1" applyProtection="1">
      <alignment horizontal="center" wrapText="1"/>
    </xf>
    <xf numFmtId="9" fontId="10" fillId="0" borderId="7" xfId="0" applyNumberFormat="1" applyFont="1" applyFill="1" applyBorder="1" applyAlignment="1" applyProtection="1">
      <alignment horizontal="center"/>
    </xf>
    <xf numFmtId="164" fontId="10" fillId="0" borderId="3" xfId="0" applyNumberFormat="1" applyFont="1" applyFill="1" applyBorder="1" applyAlignment="1" applyProtection="1">
      <alignment horizontal="center" wrapText="1"/>
    </xf>
    <xf numFmtId="164" fontId="10" fillId="0" borderId="0" xfId="0" applyNumberFormat="1" applyFont="1" applyFill="1" applyBorder="1" applyAlignment="1" applyProtection="1">
      <alignment horizontal="center"/>
    </xf>
    <xf numFmtId="1" fontId="10" fillId="0" borderId="0" xfId="0" applyNumberFormat="1" applyFont="1" applyFill="1" applyBorder="1" applyAlignment="1" applyProtection="1">
      <alignment horizontal="center"/>
    </xf>
    <xf numFmtId="1" fontId="2" fillId="0" borderId="0" xfId="0" applyNumberFormat="1" applyFont="1" applyFill="1" applyBorder="1" applyAlignment="1" applyProtection="1">
      <alignment horizontal="center"/>
    </xf>
    <xf numFmtId="1" fontId="10" fillId="0" borderId="0" xfId="0" applyNumberFormat="1" applyFont="1" applyFill="1" applyBorder="1" applyAlignment="1" applyProtection="1">
      <alignment horizontal="center" wrapText="1"/>
    </xf>
    <xf numFmtId="164" fontId="10" fillId="0" borderId="0" xfId="0" applyNumberFormat="1" applyFont="1" applyFill="1" applyBorder="1" applyAlignment="1" applyProtection="1">
      <alignment horizontal="center" wrapText="1"/>
    </xf>
    <xf numFmtId="0" fontId="10" fillId="0" borderId="0" xfId="0" applyFont="1" applyFill="1" applyBorder="1" applyAlignment="1" applyProtection="1"/>
    <xf numFmtId="0" fontId="19" fillId="0" borderId="0" xfId="0" applyFont="1" applyFill="1" applyBorder="1" applyAlignment="1" applyProtection="1"/>
    <xf numFmtId="49" fontId="10" fillId="0" borderId="0" xfId="0" applyNumberFormat="1" applyFont="1" applyFill="1" applyBorder="1" applyAlignment="1" applyProtection="1">
      <alignment horizontal="left" vertical="center" shrinkToFit="1"/>
    </xf>
    <xf numFmtId="0" fontId="10" fillId="0" borderId="0" xfId="0" applyFont="1" applyFill="1" applyBorder="1" applyAlignment="1" applyProtection="1">
      <alignment horizontal="left" vertical="center" shrinkToFit="1"/>
    </xf>
    <xf numFmtId="49" fontId="10" fillId="0" borderId="0" xfId="0" applyNumberFormat="1" applyFont="1" applyFill="1" applyBorder="1" applyAlignment="1" applyProtection="1">
      <alignment horizontal="center" vertical="center" shrinkToFit="1"/>
    </xf>
    <xf numFmtId="0" fontId="10" fillId="0" borderId="0" xfId="0" applyNumberFormat="1" applyFont="1" applyFill="1" applyBorder="1" applyAlignment="1" applyProtection="1">
      <alignment horizontal="center" vertical="center" shrinkToFit="1"/>
    </xf>
    <xf numFmtId="0" fontId="10" fillId="0" borderId="6" xfId="0" applyFont="1" applyFill="1" applyBorder="1" applyAlignment="1" applyProtection="1">
      <alignment horizontal="center" vertical="center" shrinkToFit="1"/>
    </xf>
    <xf numFmtId="0" fontId="2" fillId="0" borderId="0" xfId="0" applyFont="1" applyFill="1" applyAlignment="1" applyProtection="1">
      <alignment vertical="center"/>
    </xf>
    <xf numFmtId="0" fontId="10" fillId="0" borderId="0" xfId="0" applyFont="1" applyFill="1" applyBorder="1" applyAlignment="1" applyProtection="1">
      <alignment horizontal="center" wrapText="1"/>
    </xf>
    <xf numFmtId="9" fontId="10" fillId="0" borderId="0" xfId="0" applyNumberFormat="1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 shrinkToFit="1"/>
    </xf>
    <xf numFmtId="0" fontId="2" fillId="5" borderId="3" xfId="0" applyFont="1" applyFill="1" applyBorder="1" applyAlignment="1" applyProtection="1">
      <alignment horizontal="center" vertical="center" shrinkToFit="1"/>
    </xf>
    <xf numFmtId="9" fontId="2" fillId="4" borderId="3" xfId="0" applyNumberFormat="1" applyFont="1" applyFill="1" applyBorder="1" applyAlignment="1" applyProtection="1">
      <alignment horizontal="center" shrinkToFit="1"/>
      <protection locked="0"/>
    </xf>
    <xf numFmtId="0" fontId="10" fillId="4" borderId="17" xfId="0" applyFont="1" applyFill="1" applyBorder="1" applyAlignment="1" applyProtection="1">
      <alignment horizontal="center"/>
      <protection locked="0"/>
    </xf>
    <xf numFmtId="9" fontId="10" fillId="0" borderId="3" xfId="0" applyNumberFormat="1" applyFont="1" applyFill="1" applyBorder="1" applyAlignment="1" applyProtection="1">
      <alignment horizontal="center"/>
    </xf>
    <xf numFmtId="0" fontId="2" fillId="4" borderId="3" xfId="0" applyFont="1" applyFill="1" applyBorder="1" applyAlignment="1" applyProtection="1">
      <alignment horizontal="center" vertical="distributed" shrinkToFit="1"/>
      <protection locked="0"/>
    </xf>
    <xf numFmtId="2" fontId="10" fillId="4" borderId="7" xfId="0" applyNumberFormat="1" applyFont="1" applyFill="1" applyBorder="1" applyAlignment="1" applyProtection="1">
      <alignment horizontal="center"/>
      <protection locked="0"/>
    </xf>
    <xf numFmtId="9" fontId="2" fillId="0" borderId="3" xfId="0" applyNumberFormat="1" applyFont="1" applyFill="1" applyBorder="1" applyAlignment="1" applyProtection="1">
      <alignment horizontal="center" shrinkToFit="1"/>
      <protection locked="0"/>
    </xf>
    <xf numFmtId="0" fontId="2" fillId="0" borderId="10" xfId="0" applyFont="1" applyFill="1" applyBorder="1" applyAlignment="1" applyProtection="1">
      <alignment horizontal="center" vertical="distributed" shrinkToFit="1"/>
      <protection locked="0"/>
    </xf>
    <xf numFmtId="0" fontId="2" fillId="0" borderId="22" xfId="0" applyFont="1" applyFill="1" applyBorder="1" applyAlignment="1" applyProtection="1">
      <alignment horizontal="center" vertical="center" shrinkToFit="1"/>
    </xf>
    <xf numFmtId="0" fontId="10" fillId="4" borderId="18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/>
    <xf numFmtId="0" fontId="10" fillId="0" borderId="3" xfId="0" applyFont="1" applyFill="1" applyBorder="1" applyAlignment="1" applyProtection="1">
      <alignment horizontal="center" wrapText="1"/>
      <protection locked="0"/>
    </xf>
    <xf numFmtId="0" fontId="10" fillId="0" borderId="3" xfId="0" applyFont="1" applyFill="1" applyBorder="1" applyAlignment="1" applyProtection="1">
      <alignment horizontal="center" shrinkToFit="1"/>
      <protection locked="0"/>
    </xf>
    <xf numFmtId="0" fontId="2" fillId="0" borderId="6" xfId="0" applyFont="1" applyFill="1" applyBorder="1" applyAlignment="1" applyProtection="1">
      <alignment horizontal="center" shrinkToFit="1"/>
    </xf>
    <xf numFmtId="0" fontId="2" fillId="0" borderId="0" xfId="0" applyFont="1" applyFill="1" applyBorder="1" applyAlignment="1" applyProtection="1">
      <alignment horizontal="left" vertical="top" shrinkToFit="1"/>
    </xf>
    <xf numFmtId="0" fontId="2" fillId="0" borderId="4" xfId="0" applyFont="1" applyFill="1" applyBorder="1" applyAlignment="1" applyProtection="1">
      <alignment horizontal="center"/>
    </xf>
    <xf numFmtId="0" fontId="2" fillId="0" borderId="4" xfId="0" applyFont="1" applyFill="1" applyBorder="1" applyAlignment="1" applyProtection="1">
      <alignment horizontal="center" shrinkToFit="1"/>
    </xf>
    <xf numFmtId="0" fontId="10" fillId="0" borderId="0" xfId="0" applyFont="1" applyFill="1" applyBorder="1" applyAlignment="1" applyProtection="1">
      <alignment horizontal="left" vertical="top"/>
    </xf>
    <xf numFmtId="0" fontId="10" fillId="3" borderId="0" xfId="2" applyNumberFormat="1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horizontal="center" wrapText="1"/>
    </xf>
    <xf numFmtId="0" fontId="2" fillId="5" borderId="18" xfId="0" applyFont="1" applyFill="1" applyBorder="1" applyAlignment="1" applyProtection="1">
      <alignment horizontal="center" wrapText="1"/>
    </xf>
    <xf numFmtId="0" fontId="2" fillId="5" borderId="4" xfId="0" applyFont="1" applyFill="1" applyBorder="1" applyAlignment="1" applyProtection="1">
      <alignment horizontal="center" wrapText="1"/>
    </xf>
    <xf numFmtId="0" fontId="10" fillId="0" borderId="3" xfId="0" quotePrefix="1" applyFont="1" applyFill="1" applyBorder="1" applyAlignment="1" applyProtection="1">
      <alignment horizontal="center"/>
    </xf>
    <xf numFmtId="0" fontId="10" fillId="0" borderId="2" xfId="0" quotePrefix="1" applyFont="1" applyFill="1" applyBorder="1" applyAlignment="1" applyProtection="1">
      <alignment horizontal="center"/>
    </xf>
    <xf numFmtId="0" fontId="2" fillId="5" borderId="10" xfId="0" applyFont="1" applyFill="1" applyBorder="1" applyAlignment="1" applyProtection="1">
      <alignment horizontal="center" shrinkToFit="1"/>
    </xf>
    <xf numFmtId="0" fontId="10" fillId="4" borderId="23" xfId="0" applyFont="1" applyFill="1" applyBorder="1" applyAlignment="1" applyProtection="1">
      <alignment horizontal="center"/>
      <protection locked="0"/>
    </xf>
    <xf numFmtId="0" fontId="10" fillId="4" borderId="16" xfId="0" applyFont="1" applyFill="1" applyBorder="1" applyAlignment="1" applyProtection="1">
      <alignment horizontal="center"/>
      <protection locked="0"/>
    </xf>
    <xf numFmtId="0" fontId="10" fillId="4" borderId="24" xfId="0" applyFont="1" applyFill="1" applyBorder="1" applyAlignment="1" applyProtection="1">
      <alignment horizontal="center"/>
      <protection locked="0"/>
    </xf>
    <xf numFmtId="0" fontId="10" fillId="0" borderId="25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0" fontId="2" fillId="5" borderId="3" xfId="0" applyFont="1" applyFill="1" applyBorder="1" applyAlignment="1" applyProtection="1">
      <alignment horizontal="center" vertical="top" shrinkToFit="1"/>
    </xf>
    <xf numFmtId="0" fontId="10" fillId="4" borderId="3" xfId="0" applyFont="1" applyFill="1" applyBorder="1" applyAlignment="1" applyProtection="1">
      <protection locked="0"/>
    </xf>
    <xf numFmtId="0" fontId="10" fillId="2" borderId="3" xfId="0" applyFont="1" applyFill="1" applyBorder="1" applyAlignment="1" applyProtection="1">
      <alignment horizontal="center" shrinkToFit="1"/>
      <protection locked="0"/>
    </xf>
    <xf numFmtId="2" fontId="10" fillId="0" borderId="10" xfId="0" applyNumberFormat="1" applyFont="1" applyFill="1" applyBorder="1" applyAlignment="1" applyProtection="1">
      <alignment horizontal="center"/>
    </xf>
    <xf numFmtId="165" fontId="10" fillId="0" borderId="0" xfId="0" applyNumberFormat="1" applyFont="1" applyFill="1" applyAlignment="1" applyProtection="1">
      <alignment horizontal="center"/>
    </xf>
    <xf numFmtId="2" fontId="10" fillId="0" borderId="6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 shrinkToFit="1"/>
    </xf>
    <xf numFmtId="0" fontId="2" fillId="0" borderId="0" xfId="0" applyFont="1" applyFill="1" applyBorder="1" applyAlignment="1" applyProtection="1"/>
    <xf numFmtId="0" fontId="10" fillId="0" borderId="0" xfId="0" applyFont="1" applyFill="1" applyBorder="1" applyAlignment="1" applyProtection="1">
      <alignment wrapText="1"/>
    </xf>
    <xf numFmtId="0" fontId="10" fillId="4" borderId="56" xfId="2" applyNumberFormat="1" applyFont="1" applyFill="1" applyBorder="1" applyAlignment="1" applyProtection="1">
      <alignment horizontal="center" vertical="center"/>
      <protection locked="0"/>
    </xf>
    <xf numFmtId="0" fontId="10" fillId="4" borderId="18" xfId="2" applyNumberFormat="1" applyFont="1" applyFill="1" applyBorder="1" applyAlignment="1" applyProtection="1">
      <alignment horizontal="center" vertical="center"/>
      <protection locked="0"/>
    </xf>
    <xf numFmtId="164" fontId="10" fillId="4" borderId="18" xfId="2" applyNumberFormat="1" applyFont="1" applyFill="1" applyBorder="1" applyAlignment="1" applyProtection="1">
      <alignment horizontal="center" vertical="center"/>
      <protection locked="0"/>
    </xf>
    <xf numFmtId="0" fontId="10" fillId="0" borderId="0" xfId="2" applyNumberFormat="1" applyFont="1" applyFill="1" applyBorder="1" applyAlignment="1" applyProtection="1">
      <alignment vertical="center"/>
    </xf>
    <xf numFmtId="0" fontId="10" fillId="0" borderId="18" xfId="2" applyNumberFormat="1" applyFont="1" applyFill="1" applyBorder="1" applyAlignment="1" applyProtection="1">
      <alignment vertical="center"/>
      <protection locked="0"/>
    </xf>
    <xf numFmtId="0" fontId="10" fillId="4" borderId="8" xfId="2" applyNumberFormat="1" applyFont="1" applyFill="1" applyBorder="1" applyAlignment="1" applyProtection="1">
      <alignment horizontal="center" vertical="center"/>
      <protection locked="0"/>
    </xf>
    <xf numFmtId="0" fontId="10" fillId="4" borderId="3" xfId="2" applyNumberFormat="1" applyFont="1" applyFill="1" applyBorder="1" applyAlignment="1" applyProtection="1">
      <alignment horizontal="center" vertical="center"/>
      <protection locked="0"/>
    </xf>
    <xf numFmtId="0" fontId="10" fillId="0" borderId="3" xfId="2" applyNumberFormat="1" applyFont="1" applyFill="1" applyBorder="1" applyAlignment="1" applyProtection="1">
      <alignment vertical="center"/>
      <protection locked="0"/>
    </xf>
    <xf numFmtId="0" fontId="10" fillId="0" borderId="8" xfId="2" applyNumberFormat="1" applyFont="1" applyFill="1" applyBorder="1" applyAlignment="1" applyProtection="1">
      <alignment horizontal="center" vertical="center"/>
      <protection locked="0"/>
    </xf>
    <xf numFmtId="0" fontId="10" fillId="0" borderId="18" xfId="2" applyNumberFormat="1" applyFont="1" applyFill="1" applyBorder="1" applyAlignment="1" applyProtection="1">
      <alignment horizontal="center" vertical="center"/>
      <protection locked="0"/>
    </xf>
    <xf numFmtId="0" fontId="10" fillId="0" borderId="3" xfId="2" applyNumberFormat="1" applyFont="1" applyFill="1" applyBorder="1" applyAlignment="1" applyProtection="1">
      <alignment horizontal="center" vertical="center"/>
      <protection locked="0"/>
    </xf>
    <xf numFmtId="164" fontId="10" fillId="0" borderId="18" xfId="2" applyNumberFormat="1" applyFont="1" applyFill="1" applyBorder="1" applyAlignment="1" applyProtection="1">
      <alignment horizontal="center" vertic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10" fillId="0" borderId="11" xfId="2" applyNumberFormat="1" applyFont="1" applyFill="1" applyBorder="1" applyAlignment="1" applyProtection="1">
      <alignment horizontal="center" vertical="center"/>
    </xf>
    <xf numFmtId="0" fontId="2" fillId="0" borderId="11" xfId="2" applyNumberFormat="1" applyFont="1" applyFill="1" applyBorder="1" applyAlignment="1" applyProtection="1">
      <alignment horizontal="center" vertical="center"/>
    </xf>
    <xf numFmtId="0" fontId="2" fillId="6" borderId="8" xfId="2" applyNumberFormat="1" applyFont="1" applyFill="1" applyBorder="1" applyAlignment="1" applyProtection="1">
      <alignment horizontal="center" vertical="center"/>
    </xf>
    <xf numFmtId="0" fontId="2" fillId="6" borderId="3" xfId="2" applyNumberFormat="1" applyFont="1" applyFill="1" applyBorder="1" applyAlignment="1" applyProtection="1">
      <alignment horizontal="center" vertical="center"/>
    </xf>
    <xf numFmtId="0" fontId="2" fillId="6" borderId="18" xfId="0" applyFont="1" applyFill="1" applyBorder="1" applyAlignment="1" applyProtection="1">
      <alignment horizontal="center"/>
    </xf>
    <xf numFmtId="2" fontId="10" fillId="0" borderId="3" xfId="2" applyNumberFormat="1" applyFont="1" applyFill="1" applyBorder="1" applyAlignment="1" applyProtection="1">
      <alignment horizontal="center" vertical="center"/>
      <protection locked="0"/>
    </xf>
    <xf numFmtId="170" fontId="10" fillId="0" borderId="18" xfId="0" applyNumberFormat="1" applyFont="1" applyFill="1" applyBorder="1" applyAlignment="1" applyProtection="1">
      <alignment horizontal="center"/>
      <protection locked="0"/>
    </xf>
    <xf numFmtId="0" fontId="20" fillId="0" borderId="0" xfId="0" applyFont="1" applyFill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165" fontId="10" fillId="0" borderId="3" xfId="0" applyNumberFormat="1" applyFont="1" applyFill="1" applyBorder="1" applyAlignment="1" applyProtection="1">
      <alignment horizontal="center"/>
    </xf>
    <xf numFmtId="0" fontId="23" fillId="0" borderId="0" xfId="0" applyFont="1" applyFill="1" applyBorder="1" applyAlignment="1" applyProtection="1">
      <alignment horizontal="center"/>
    </xf>
    <xf numFmtId="0" fontId="20" fillId="0" borderId="0" xfId="0" applyFont="1" applyFill="1" applyBorder="1" applyAlignment="1" applyProtection="1">
      <alignment horizontal="center"/>
    </xf>
    <xf numFmtId="0" fontId="10" fillId="0" borderId="21" xfId="0" applyFont="1" applyFill="1" applyBorder="1" applyAlignment="1" applyProtection="1">
      <alignment horizontal="center"/>
    </xf>
    <xf numFmtId="2" fontId="10" fillId="0" borderId="26" xfId="0" applyNumberFormat="1" applyFont="1" applyFill="1" applyBorder="1" applyAlignment="1" applyProtection="1">
      <alignment horizontal="center"/>
    </xf>
    <xf numFmtId="165" fontId="10" fillId="0" borderId="0" xfId="0" applyNumberFormat="1" applyFont="1" applyFill="1" applyBorder="1" applyAlignment="1" applyProtection="1">
      <alignment horizontal="center"/>
    </xf>
    <xf numFmtId="2" fontId="10" fillId="0" borderId="3" xfId="0" applyNumberFormat="1" applyFont="1" applyFill="1" applyBorder="1" applyAlignment="1" applyProtection="1">
      <alignment horizontal="center"/>
      <protection locked="0"/>
    </xf>
    <xf numFmtId="2" fontId="10" fillId="0" borderId="7" xfId="0" applyNumberFormat="1" applyFont="1" applyFill="1" applyBorder="1" applyAlignment="1" applyProtection="1">
      <alignment horizontal="center"/>
      <protection locked="0"/>
    </xf>
    <xf numFmtId="165" fontId="10" fillId="0" borderId="2" xfId="0" applyNumberFormat="1" applyFont="1" applyFill="1" applyBorder="1" applyAlignment="1" applyProtection="1">
      <alignment horizontal="center"/>
    </xf>
    <xf numFmtId="0" fontId="2" fillId="0" borderId="0" xfId="0" applyFont="1" applyFill="1" applyAlignment="1" applyProtection="1">
      <alignment horizontal="center"/>
      <protection hidden="1"/>
    </xf>
    <xf numFmtId="2" fontId="2" fillId="0" borderId="5" xfId="0" applyNumberFormat="1" applyFont="1" applyBorder="1" applyAlignment="1" applyProtection="1">
      <alignment horizontal="center"/>
    </xf>
    <xf numFmtId="2" fontId="2" fillId="0" borderId="0" xfId="0" applyNumberFormat="1" applyFont="1" applyBorder="1" applyAlignment="1" applyProtection="1">
      <alignment horizontal="center"/>
    </xf>
    <xf numFmtId="0" fontId="10" fillId="2" borderId="0" xfId="0" applyFont="1" applyFill="1" applyAlignment="1" applyProtection="1">
      <alignment horizontal="left"/>
      <protection hidden="1"/>
    </xf>
    <xf numFmtId="2" fontId="2" fillId="5" borderId="3" xfId="0" applyNumberFormat="1" applyFont="1" applyFill="1" applyBorder="1" applyAlignment="1" applyProtection="1">
      <alignment horizontal="center"/>
    </xf>
    <xf numFmtId="2" fontId="2" fillId="0" borderId="3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0" fontId="10" fillId="0" borderId="0" xfId="0" applyFont="1" applyFill="1" applyAlignment="1" applyProtection="1">
      <alignment horizontal="left"/>
      <protection hidden="1"/>
    </xf>
    <xf numFmtId="0" fontId="10" fillId="5" borderId="10" xfId="0" applyFont="1" applyFill="1" applyBorder="1" applyAlignment="1" applyProtection="1">
      <alignment horizontal="center"/>
    </xf>
    <xf numFmtId="0" fontId="10" fillId="0" borderId="0" xfId="0" applyFont="1" applyFill="1" applyProtection="1">
      <protection hidden="1"/>
    </xf>
    <xf numFmtId="0" fontId="10" fillId="0" borderId="55" xfId="0" applyFont="1" applyFill="1" applyBorder="1" applyAlignment="1" applyProtection="1">
      <alignment horizontal="center"/>
      <protection locked="0"/>
    </xf>
    <xf numFmtId="0" fontId="10" fillId="5" borderId="4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/>
    <xf numFmtId="49" fontId="10" fillId="4" borderId="11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11" xfId="0" applyFont="1" applyFill="1" applyBorder="1" applyAlignment="1" applyProtection="1">
      <alignment horizontal="center" vertical="center" shrinkToFit="1"/>
      <protection locked="0"/>
    </xf>
    <xf numFmtId="0" fontId="10" fillId="4" borderId="11" xfId="0" applyNumberFormat="1" applyFont="1" applyFill="1" applyBorder="1" applyAlignment="1" applyProtection="1">
      <alignment horizontal="center" vertical="center" shrinkToFit="1"/>
      <protection locked="0"/>
    </xf>
    <xf numFmtId="0" fontId="10" fillId="4" borderId="5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 applyProtection="1">
      <alignment horizontal="center" vertical="center"/>
      <protection locked="0"/>
    </xf>
    <xf numFmtId="0" fontId="10" fillId="4" borderId="11" xfId="0" applyFont="1" applyFill="1" applyBorder="1" applyAlignment="1" applyProtection="1">
      <alignment horizontal="center" wrapText="1"/>
      <protection locked="0"/>
    </xf>
    <xf numFmtId="0" fontId="10" fillId="4" borderId="11" xfId="0" applyFont="1" applyFill="1" applyBorder="1" applyAlignment="1" applyProtection="1">
      <alignment horizontal="center" shrinkToFit="1"/>
      <protection locked="0"/>
    </xf>
    <xf numFmtId="0" fontId="10" fillId="4" borderId="5" xfId="0" applyFont="1" applyFill="1" applyBorder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wrapText="1" shrinkToFit="1"/>
    </xf>
    <xf numFmtId="167" fontId="10" fillId="0" borderId="0" xfId="0" applyNumberFormat="1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shrinkToFit="1"/>
      <protection locked="0"/>
    </xf>
    <xf numFmtId="166" fontId="17" fillId="0" borderId="5" xfId="0" applyNumberFormat="1" applyFont="1" applyFill="1" applyBorder="1" applyAlignment="1" applyProtection="1">
      <alignment horizontal="center" shrinkToFit="1"/>
      <protection locked="0"/>
    </xf>
    <xf numFmtId="171" fontId="10" fillId="4" borderId="0" xfId="0" applyNumberFormat="1" applyFont="1" applyFill="1" applyBorder="1" applyAlignment="1" applyProtection="1">
      <alignment horizontal="center" vertical="justify"/>
      <protection locked="0"/>
    </xf>
    <xf numFmtId="0" fontId="2" fillId="0" borderId="7" xfId="0" applyFont="1" applyFill="1" applyBorder="1" applyAlignment="1" applyProtection="1">
      <alignment horizontal="center"/>
    </xf>
    <xf numFmtId="0" fontId="13" fillId="0" borderId="0" xfId="0" applyFont="1" applyBorder="1" applyAlignment="1">
      <alignment horizontal="right"/>
    </xf>
    <xf numFmtId="0" fontId="1" fillId="0" borderId="0" xfId="0" applyFont="1" applyFill="1"/>
    <xf numFmtId="0" fontId="10" fillId="0" borderId="3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shrinkToFit="1"/>
    </xf>
    <xf numFmtId="0" fontId="10" fillId="4" borderId="3" xfId="0" applyFont="1" applyFill="1" applyBorder="1" applyAlignment="1" applyProtection="1">
      <alignment horizontal="center"/>
      <protection locked="0"/>
    </xf>
    <xf numFmtId="0" fontId="10" fillId="4" borderId="5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10" fillId="0" borderId="3" xfId="0" applyFont="1" applyFill="1" applyBorder="1" applyAlignment="1" applyProtection="1">
      <alignment horizontal="center"/>
      <protection locked="0"/>
    </xf>
    <xf numFmtId="0" fontId="10" fillId="0" borderId="0" xfId="0" applyFont="1" applyFill="1" applyBorder="1" applyAlignment="1" applyProtection="1">
      <alignment horizontal="center"/>
    </xf>
    <xf numFmtId="0" fontId="10" fillId="0" borderId="0" xfId="0" applyFont="1" applyFill="1" applyBorder="1" applyProtection="1"/>
    <xf numFmtId="0" fontId="2" fillId="0" borderId="7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10" fillId="0" borderId="6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169" fontId="10" fillId="0" borderId="3" xfId="0" applyNumberFormat="1" applyFont="1" applyFill="1" applyBorder="1" applyAlignment="1" applyProtection="1">
      <alignment horizontal="center"/>
      <protection locked="0"/>
    </xf>
    <xf numFmtId="2" fontId="2" fillId="0" borderId="16" xfId="0" applyNumberFormat="1" applyFont="1" applyBorder="1" applyAlignment="1" applyProtection="1">
      <alignment horizontal="center"/>
    </xf>
    <xf numFmtId="2" fontId="2" fillId="0" borderId="3" xfId="0" applyNumberFormat="1" applyFont="1" applyBorder="1" applyAlignment="1" applyProtection="1">
      <alignment horizontal="center"/>
    </xf>
    <xf numFmtId="0" fontId="10" fillId="0" borderId="6" xfId="0" applyFont="1" applyFill="1" applyBorder="1" applyProtection="1"/>
    <xf numFmtId="2" fontId="2" fillId="0" borderId="16" xfId="0" applyNumberFormat="1" applyFont="1" applyFill="1" applyBorder="1" applyAlignment="1" applyProtection="1">
      <alignment horizontal="center"/>
    </xf>
    <xf numFmtId="9" fontId="10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/>
    </xf>
    <xf numFmtId="2" fontId="6" fillId="0" borderId="5" xfId="0" applyNumberFormat="1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 shrinkToFit="1"/>
    </xf>
    <xf numFmtId="0" fontId="2" fillId="0" borderId="1" xfId="0" applyFont="1" applyFill="1" applyBorder="1" applyAlignment="1" applyProtection="1">
      <alignment horizontal="center" shrinkToFit="1"/>
    </xf>
    <xf numFmtId="1" fontId="10" fillId="0" borderId="7" xfId="0" applyNumberFormat="1" applyFont="1" applyFill="1" applyBorder="1" applyAlignment="1" applyProtection="1">
      <alignment horizontal="center"/>
      <protection locked="0"/>
    </xf>
    <xf numFmtId="1" fontId="10" fillId="0" borderId="16" xfId="0" applyNumberFormat="1" applyFont="1" applyFill="1" applyBorder="1" applyAlignment="1" applyProtection="1">
      <alignment horizontal="center"/>
      <protection locked="0"/>
    </xf>
    <xf numFmtId="0" fontId="2" fillId="5" borderId="7" xfId="0" applyFont="1" applyFill="1" applyBorder="1" applyAlignment="1" applyProtection="1">
      <alignment horizontal="center"/>
    </xf>
    <xf numFmtId="0" fontId="2" fillId="5" borderId="11" xfId="0" applyFont="1" applyFill="1" applyBorder="1" applyAlignment="1" applyProtection="1">
      <alignment horizontal="center"/>
    </xf>
    <xf numFmtId="0" fontId="2" fillId="5" borderId="16" xfId="0" applyFont="1" applyFill="1" applyBorder="1" applyAlignment="1" applyProtection="1">
      <alignment horizontal="center"/>
    </xf>
    <xf numFmtId="0" fontId="2" fillId="0" borderId="47" xfId="0" applyFont="1" applyFill="1" applyBorder="1" applyAlignment="1" applyProtection="1">
      <alignment horizontal="center"/>
    </xf>
    <xf numFmtId="0" fontId="2" fillId="0" borderId="21" xfId="0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>
      <alignment horizontal="left"/>
      <protection locked="0"/>
    </xf>
    <xf numFmtId="0" fontId="10" fillId="0" borderId="11" xfId="0" applyFont="1" applyFill="1" applyBorder="1" applyAlignment="1" applyProtection="1">
      <alignment horizontal="left"/>
      <protection locked="0"/>
    </xf>
    <xf numFmtId="0" fontId="10" fillId="0" borderId="16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9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2" fillId="0" borderId="16" xfId="0" applyFont="1" applyFill="1" applyBorder="1" applyAlignment="1" applyProtection="1">
      <alignment horizontal="center"/>
    </xf>
    <xf numFmtId="0" fontId="10" fillId="4" borderId="7" xfId="0" applyFont="1" applyFill="1" applyBorder="1" applyAlignment="1" applyProtection="1">
      <alignment horizontal="center"/>
      <protection locked="0"/>
    </xf>
    <xf numFmtId="0" fontId="10" fillId="4" borderId="11" xfId="0" applyFont="1" applyFill="1" applyBorder="1" applyAlignment="1" applyProtection="1">
      <alignment horizontal="center"/>
      <protection locked="0"/>
    </xf>
    <xf numFmtId="0" fontId="10" fillId="4" borderId="16" xfId="0" applyFont="1" applyFill="1" applyBorder="1" applyAlignment="1" applyProtection="1">
      <alignment horizontal="center"/>
      <protection locked="0"/>
    </xf>
    <xf numFmtId="0" fontId="2" fillId="0" borderId="3" xfId="0" applyFont="1" applyFill="1" applyBorder="1" applyAlignment="1" applyProtection="1">
      <alignment horizontal="center" shrinkToFit="1"/>
    </xf>
    <xf numFmtId="0" fontId="10" fillId="0" borderId="3" xfId="0" applyFont="1" applyFill="1" applyBorder="1" applyAlignment="1" applyProtection="1">
      <alignment horizontal="center"/>
      <protection locked="0"/>
    </xf>
    <xf numFmtId="0" fontId="10" fillId="4" borderId="3" xfId="0" applyFont="1" applyFill="1" applyBorder="1" applyAlignment="1" applyProtection="1">
      <alignment horizontal="center"/>
      <protection locked="0"/>
    </xf>
    <xf numFmtId="0" fontId="21" fillId="5" borderId="42" xfId="0" applyFont="1" applyFill="1" applyBorder="1" applyAlignment="1" applyProtection="1">
      <alignment horizontal="center"/>
    </xf>
    <xf numFmtId="0" fontId="21" fillId="5" borderId="43" xfId="0" applyFont="1" applyFill="1" applyBorder="1" applyAlignment="1" applyProtection="1">
      <alignment horizontal="center"/>
    </xf>
    <xf numFmtId="0" fontId="2" fillId="5" borderId="43" xfId="0" applyFont="1" applyFill="1" applyBorder="1" applyAlignment="1" applyProtection="1">
      <alignment horizontal="center"/>
    </xf>
    <xf numFmtId="0" fontId="2" fillId="5" borderId="44" xfId="0" applyFont="1" applyFill="1" applyBorder="1" applyAlignment="1" applyProtection="1">
      <alignment horizontal="center"/>
    </xf>
    <xf numFmtId="0" fontId="10" fillId="0" borderId="7" xfId="2" applyNumberFormat="1" applyFont="1" applyFill="1" applyBorder="1" applyAlignment="1" applyProtection="1">
      <alignment horizontal="center" vertical="center"/>
      <protection locked="0"/>
    </xf>
    <xf numFmtId="0" fontId="10" fillId="0" borderId="16" xfId="2" applyNumberFormat="1" applyFont="1" applyFill="1" applyBorder="1" applyAlignment="1" applyProtection="1">
      <alignment horizontal="center" vertical="center"/>
      <protection locked="0"/>
    </xf>
    <xf numFmtId="0" fontId="2" fillId="5" borderId="8" xfId="0" applyFont="1" applyFill="1" applyBorder="1" applyAlignment="1" applyProtection="1">
      <alignment horizontal="center"/>
    </xf>
    <xf numFmtId="0" fontId="2" fillId="5" borderId="3" xfId="0" applyFont="1" applyFill="1" applyBorder="1" applyAlignment="1" applyProtection="1">
      <alignment horizontal="center"/>
    </xf>
    <xf numFmtId="0" fontId="2" fillId="5" borderId="9" xfId="0" applyFont="1" applyFill="1" applyBorder="1" applyAlignment="1" applyProtection="1">
      <alignment horizontal="center"/>
    </xf>
    <xf numFmtId="165" fontId="10" fillId="0" borderId="0" xfId="0" applyNumberFormat="1" applyFont="1" applyFill="1" applyBorder="1" applyAlignment="1" applyProtection="1">
      <alignment horizontal="center"/>
    </xf>
    <xf numFmtId="0" fontId="10" fillId="0" borderId="57" xfId="0" applyFont="1" applyFill="1" applyBorder="1" applyAlignment="1" applyProtection="1">
      <alignment horizontal="center"/>
      <protection locked="0"/>
    </xf>
    <xf numFmtId="165" fontId="10" fillId="0" borderId="3" xfId="0" applyNumberFormat="1" applyFont="1" applyFill="1" applyBorder="1" applyAlignment="1" applyProtection="1">
      <alignment horizontal="center"/>
      <protection locked="0"/>
    </xf>
    <xf numFmtId="0" fontId="19" fillId="0" borderId="6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10" fillId="0" borderId="7" xfId="0" applyFont="1" applyFill="1" applyBorder="1" applyAlignment="1" applyProtection="1">
      <alignment horizontal="center"/>
      <protection locked="0"/>
    </xf>
    <xf numFmtId="0" fontId="10" fillId="0" borderId="11" xfId="0" applyFont="1" applyFill="1" applyBorder="1" applyAlignment="1" applyProtection="1">
      <alignment horizontal="center"/>
      <protection locked="0"/>
    </xf>
    <xf numFmtId="0" fontId="10" fillId="0" borderId="16" xfId="0" applyFont="1" applyFill="1" applyBorder="1" applyAlignment="1" applyProtection="1">
      <alignment horizontal="center"/>
      <protection locked="0"/>
    </xf>
    <xf numFmtId="0" fontId="21" fillId="5" borderId="39" xfId="0" applyFont="1" applyFill="1" applyBorder="1" applyAlignment="1" applyProtection="1">
      <alignment horizontal="center"/>
    </xf>
    <xf numFmtId="0" fontId="21" fillId="5" borderId="40" xfId="0" applyFont="1" applyFill="1" applyBorder="1" applyAlignment="1" applyProtection="1">
      <alignment horizontal="center"/>
    </xf>
    <xf numFmtId="0" fontId="2" fillId="5" borderId="40" xfId="0" applyFont="1" applyFill="1" applyBorder="1" applyAlignment="1" applyProtection="1">
      <alignment horizontal="center"/>
    </xf>
    <xf numFmtId="0" fontId="2" fillId="5" borderId="41" xfId="0" applyFont="1" applyFill="1" applyBorder="1" applyAlignment="1" applyProtection="1">
      <alignment horizontal="center"/>
    </xf>
    <xf numFmtId="0" fontId="10" fillId="0" borderId="7" xfId="0" applyFont="1" applyFill="1" applyBorder="1" applyAlignment="1" applyProtection="1">
      <alignment horizontal="center" shrinkToFit="1"/>
      <protection locked="0"/>
    </xf>
    <xf numFmtId="0" fontId="10" fillId="0" borderId="16" xfId="0" applyFont="1" applyFill="1" applyBorder="1" applyAlignment="1" applyProtection="1">
      <alignment horizontal="center" shrinkToFit="1"/>
      <protection locked="0"/>
    </xf>
    <xf numFmtId="0" fontId="2" fillId="5" borderId="3" xfId="0" applyFont="1" applyFill="1" applyBorder="1" applyAlignment="1" applyProtection="1">
      <alignment horizontal="center" shrinkToFit="1"/>
    </xf>
    <xf numFmtId="0" fontId="2" fillId="0" borderId="7" xfId="0" applyFont="1" applyFill="1" applyBorder="1" applyAlignment="1" applyProtection="1">
      <alignment horizontal="center" shrinkToFit="1"/>
      <protection locked="0"/>
    </xf>
    <xf numFmtId="0" fontId="2" fillId="0" borderId="11" xfId="0" applyFont="1" applyFill="1" applyBorder="1" applyAlignment="1" applyProtection="1">
      <alignment horizontal="center" shrinkToFit="1"/>
      <protection locked="0"/>
    </xf>
    <xf numFmtId="0" fontId="2" fillId="0" borderId="16" xfId="0" applyFont="1" applyFill="1" applyBorder="1" applyAlignment="1" applyProtection="1">
      <alignment horizontal="center" shrinkToFit="1"/>
      <protection locked="0"/>
    </xf>
    <xf numFmtId="0" fontId="2" fillId="0" borderId="15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2" fillId="0" borderId="13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11" xfId="0" applyFont="1" applyFill="1" applyBorder="1" applyAlignment="1" applyProtection="1">
      <alignment horizontal="center"/>
      <protection locked="0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center" vertical="distributed"/>
    </xf>
    <xf numFmtId="0" fontId="2" fillId="5" borderId="7" xfId="0" applyFont="1" applyFill="1" applyBorder="1" applyAlignment="1" applyProtection="1">
      <alignment horizontal="center" wrapText="1"/>
    </xf>
    <xf numFmtId="0" fontId="2" fillId="5" borderId="16" xfId="0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horizontal="center" wrapText="1"/>
    </xf>
    <xf numFmtId="0" fontId="2" fillId="5" borderId="7" xfId="0" applyFont="1" applyFill="1" applyBorder="1" applyAlignment="1" applyProtection="1">
      <alignment horizontal="center" shrinkToFit="1"/>
    </xf>
    <xf numFmtId="0" fontId="2" fillId="5" borderId="38" xfId="0" applyFont="1" applyFill="1" applyBorder="1" applyAlignment="1" applyProtection="1">
      <alignment horizontal="center" shrinkToFi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justify"/>
    </xf>
    <xf numFmtId="0" fontId="2" fillId="0" borderId="0" xfId="0" applyFont="1" applyFill="1" applyBorder="1" applyAlignment="1" applyProtection="1">
      <alignment horizontal="center" vertical="justify" shrinkToFit="1"/>
    </xf>
    <xf numFmtId="43" fontId="2" fillId="0" borderId="0" xfId="1" applyFont="1" applyFill="1" applyBorder="1" applyAlignment="1" applyProtection="1">
      <alignment horizontal="center" vertical="justify" shrinkToFit="1"/>
    </xf>
    <xf numFmtId="0" fontId="2" fillId="0" borderId="0" xfId="0" applyFont="1" applyFill="1" applyAlignment="1" applyProtection="1">
      <alignment horizontal="center"/>
    </xf>
    <xf numFmtId="0" fontId="2" fillId="5" borderId="11" xfId="0" applyFont="1" applyFill="1" applyBorder="1" applyAlignment="1" applyProtection="1">
      <alignment horizontal="center" shrinkToFit="1"/>
    </xf>
    <xf numFmtId="0" fontId="2" fillId="5" borderId="16" xfId="0" applyFont="1" applyFill="1" applyBorder="1" applyAlignment="1" applyProtection="1">
      <alignment horizont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 shrinkToFit="1"/>
    </xf>
    <xf numFmtId="0" fontId="10" fillId="0" borderId="31" xfId="0" applyFont="1" applyFill="1" applyBorder="1" applyAlignment="1" applyProtection="1">
      <alignment horizontal="left" vertical="top"/>
      <protection locked="0"/>
    </xf>
    <xf numFmtId="0" fontId="10" fillId="0" borderId="32" xfId="0" applyFont="1" applyFill="1" applyBorder="1" applyAlignment="1" applyProtection="1">
      <alignment horizontal="left" vertical="top"/>
      <protection locked="0"/>
    </xf>
    <xf numFmtId="0" fontId="10" fillId="0" borderId="33" xfId="0" applyFont="1" applyFill="1" applyBorder="1" applyAlignment="1" applyProtection="1">
      <alignment horizontal="left" vertical="top"/>
      <protection locked="0"/>
    </xf>
    <xf numFmtId="0" fontId="2" fillId="0" borderId="0" xfId="0" applyFont="1" applyFill="1" applyBorder="1" applyAlignment="1" applyProtection="1">
      <alignment horizontal="center" vertical="center"/>
    </xf>
    <xf numFmtId="0" fontId="10" fillId="4" borderId="16" xfId="0" applyFont="1" applyFill="1" applyBorder="1" applyProtection="1">
      <protection locked="0"/>
    </xf>
    <xf numFmtId="0" fontId="10" fillId="0" borderId="16" xfId="0" applyFont="1" applyFill="1" applyBorder="1" applyProtection="1">
      <protection locked="0"/>
    </xf>
    <xf numFmtId="3" fontId="10" fillId="0" borderId="7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 shrinkToFit="1"/>
    </xf>
    <xf numFmtId="9" fontId="10" fillId="4" borderId="7" xfId="0" applyNumberFormat="1" applyFont="1" applyFill="1" applyBorder="1" applyAlignment="1" applyProtection="1">
      <alignment horizontal="center"/>
      <protection locked="0"/>
    </xf>
    <xf numFmtId="9" fontId="10" fillId="4" borderId="16" xfId="0" applyNumberFormat="1" applyFont="1" applyFill="1" applyBorder="1" applyProtection="1">
      <protection locked="0"/>
    </xf>
    <xf numFmtId="9" fontId="10" fillId="0" borderId="7" xfId="0" applyNumberFormat="1" applyFont="1" applyFill="1" applyBorder="1" applyAlignment="1" applyProtection="1">
      <alignment horizontal="center"/>
      <protection locked="0"/>
    </xf>
    <xf numFmtId="9" fontId="10" fillId="0" borderId="16" xfId="0" applyNumberFormat="1" applyFont="1" applyFill="1" applyBorder="1" applyProtection="1">
      <protection locked="0"/>
    </xf>
    <xf numFmtId="0" fontId="12" fillId="0" borderId="0" xfId="0" applyFont="1" applyFill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 vertical="center" wrapText="1"/>
      <protection locked="0"/>
    </xf>
    <xf numFmtId="0" fontId="2" fillId="4" borderId="18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wrapText="1"/>
    </xf>
    <xf numFmtId="0" fontId="2" fillId="0" borderId="18" xfId="0" applyFont="1" applyFill="1" applyBorder="1" applyAlignment="1" applyProtection="1">
      <alignment horizontal="center" vertical="center" wrapText="1"/>
    </xf>
    <xf numFmtId="0" fontId="10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7" fillId="0" borderId="0" xfId="0" applyFont="1" applyFill="1" applyAlignment="1" applyProtection="1">
      <alignment horizontal="center" wrapText="1"/>
    </xf>
    <xf numFmtId="0" fontId="2" fillId="5" borderId="51" xfId="0" applyFont="1" applyFill="1" applyBorder="1" applyAlignment="1" applyProtection="1">
      <alignment horizontal="center" shrinkToFit="1"/>
    </xf>
    <xf numFmtId="0" fontId="2" fillId="0" borderId="0" xfId="0" applyFont="1" applyFill="1" applyAlignment="1" applyProtection="1">
      <alignment horizontal="center" wrapText="1"/>
    </xf>
    <xf numFmtId="0" fontId="2" fillId="0" borderId="2" xfId="0" applyFont="1" applyFill="1" applyBorder="1" applyAlignment="1" applyProtection="1">
      <alignment horizontal="center" vertical="center" shrinkToFit="1"/>
    </xf>
    <xf numFmtId="0" fontId="2" fillId="0" borderId="37" xfId="0" applyFont="1" applyFill="1" applyBorder="1" applyAlignment="1" applyProtection="1">
      <alignment horizontal="center" vertical="center" shrinkToFit="1"/>
    </xf>
    <xf numFmtId="0" fontId="2" fillId="0" borderId="6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10" fillId="4" borderId="45" xfId="0" applyFont="1" applyFill="1" applyBorder="1" applyAlignment="1" applyProtection="1">
      <alignment horizontal="center"/>
      <protection locked="0"/>
    </xf>
    <xf numFmtId="0" fontId="10" fillId="4" borderId="46" xfId="0" applyFont="1" applyFill="1" applyBorder="1" applyAlignment="1" applyProtection="1">
      <alignment horizontal="center"/>
      <protection locked="0"/>
    </xf>
    <xf numFmtId="165" fontId="10" fillId="0" borderId="16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Fill="1" applyBorder="1" applyAlignment="1" applyProtection="1">
      <alignment horizontal="center" shrinkToFit="1"/>
    </xf>
    <xf numFmtId="0" fontId="2" fillId="0" borderId="10" xfId="0" applyFont="1" applyFill="1" applyBorder="1" applyAlignment="1" applyProtection="1">
      <alignment horizontal="center"/>
    </xf>
    <xf numFmtId="0" fontId="2" fillId="6" borderId="7" xfId="2" applyNumberFormat="1" applyFont="1" applyFill="1" applyBorder="1" applyAlignment="1" applyProtection="1">
      <alignment horizontal="center" vertical="center"/>
    </xf>
    <xf numFmtId="0" fontId="2" fillId="6" borderId="16" xfId="2" applyNumberFormat="1" applyFont="1" applyFill="1" applyBorder="1" applyAlignment="1" applyProtection="1">
      <alignment horizontal="center" vertical="center"/>
    </xf>
    <xf numFmtId="0" fontId="10" fillId="5" borderId="16" xfId="0" applyFont="1" applyFill="1" applyBorder="1" applyProtection="1"/>
    <xf numFmtId="0" fontId="2" fillId="0" borderId="31" xfId="0" applyFont="1" applyFill="1" applyBorder="1" applyAlignment="1" applyProtection="1">
      <alignment horizontal="left" vertical="top" shrinkToFit="1"/>
      <protection locked="0"/>
    </xf>
    <xf numFmtId="0" fontId="2" fillId="0" borderId="32" xfId="0" applyFont="1" applyFill="1" applyBorder="1" applyAlignment="1" applyProtection="1">
      <alignment horizontal="left" vertical="top" shrinkToFit="1"/>
      <protection locked="0"/>
    </xf>
    <xf numFmtId="0" fontId="2" fillId="0" borderId="33" xfId="0" applyFont="1" applyFill="1" applyBorder="1" applyAlignment="1" applyProtection="1">
      <alignment horizontal="left" vertical="top" shrinkToFit="1"/>
      <protection locked="0"/>
    </xf>
    <xf numFmtId="0" fontId="2" fillId="0" borderId="48" xfId="0" applyFont="1" applyFill="1" applyBorder="1" applyAlignment="1" applyProtection="1">
      <alignment horizontal="left" vertical="top" shrinkToFit="1"/>
      <protection locked="0"/>
    </xf>
    <xf numFmtId="0" fontId="2" fillId="0" borderId="49" xfId="0" applyFont="1" applyFill="1" applyBorder="1" applyAlignment="1" applyProtection="1">
      <alignment horizontal="left" vertical="top" shrinkToFit="1"/>
      <protection locked="0"/>
    </xf>
    <xf numFmtId="0" fontId="2" fillId="0" borderId="50" xfId="0" applyFont="1" applyFill="1" applyBorder="1" applyAlignment="1" applyProtection="1">
      <alignment horizontal="left" vertical="top" shrinkToFit="1"/>
      <protection locked="0"/>
    </xf>
    <xf numFmtId="0" fontId="2" fillId="0" borderId="28" xfId="0" applyFont="1" applyFill="1" applyBorder="1" applyAlignment="1" applyProtection="1">
      <alignment horizontal="left" vertical="top" shrinkToFit="1"/>
      <protection locked="0"/>
    </xf>
    <xf numFmtId="0" fontId="2" fillId="0" borderId="29" xfId="0" applyFont="1" applyFill="1" applyBorder="1" applyAlignment="1" applyProtection="1">
      <alignment horizontal="left" vertical="top" shrinkToFit="1"/>
      <protection locked="0"/>
    </xf>
    <xf numFmtId="0" fontId="2" fillId="0" borderId="30" xfId="0" applyFont="1" applyFill="1" applyBorder="1" applyAlignment="1" applyProtection="1">
      <alignment horizontal="left" vertical="top" shrinkToFit="1"/>
      <protection locked="0"/>
    </xf>
    <xf numFmtId="0" fontId="2" fillId="5" borderId="15" xfId="0" applyFont="1" applyFill="1" applyBorder="1" applyAlignment="1" applyProtection="1">
      <alignment horizontal="center"/>
    </xf>
    <xf numFmtId="0" fontId="2" fillId="5" borderId="6" xfId="0" applyFont="1" applyFill="1" applyBorder="1" applyAlignment="1" applyProtection="1">
      <alignment horizontal="center"/>
    </xf>
    <xf numFmtId="0" fontId="2" fillId="5" borderId="13" xfId="0" applyFont="1" applyFill="1" applyBorder="1" applyAlignment="1" applyProtection="1">
      <alignment horizontal="center"/>
    </xf>
    <xf numFmtId="2" fontId="2" fillId="5" borderId="3" xfId="0" applyNumberFormat="1" applyFont="1" applyFill="1" applyBorder="1" applyAlignment="1" applyProtection="1">
      <alignment horizontal="center"/>
    </xf>
    <xf numFmtId="0" fontId="2" fillId="6" borderId="3" xfId="0" applyFont="1" applyFill="1" applyBorder="1" applyAlignment="1" applyProtection="1"/>
    <xf numFmtId="2" fontId="2" fillId="5" borderId="7" xfId="0" applyNumberFormat="1" applyFont="1" applyFill="1" applyBorder="1" applyAlignment="1" applyProtection="1">
      <alignment horizontal="center"/>
    </xf>
    <xf numFmtId="2" fontId="2" fillId="5" borderId="11" xfId="0" applyNumberFormat="1" applyFont="1" applyFill="1" applyBorder="1" applyAlignment="1" applyProtection="1">
      <alignment horizontal="center"/>
    </xf>
    <xf numFmtId="2" fontId="2" fillId="5" borderId="16" xfId="0" applyNumberFormat="1" applyFont="1" applyFill="1" applyBorder="1" applyAlignment="1" applyProtection="1">
      <alignment horizontal="center"/>
    </xf>
    <xf numFmtId="0" fontId="10" fillId="4" borderId="7" xfId="0" applyFont="1" applyFill="1" applyBorder="1" applyAlignment="1" applyProtection="1">
      <alignment horizontal="left"/>
      <protection locked="0"/>
    </xf>
    <xf numFmtId="0" fontId="10" fillId="4" borderId="11" xfId="0" applyFont="1" applyFill="1" applyBorder="1" applyAlignment="1" applyProtection="1">
      <alignment horizontal="left"/>
      <protection locked="0"/>
    </xf>
    <xf numFmtId="0" fontId="10" fillId="4" borderId="16" xfId="0" applyFont="1" applyFill="1" applyBorder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alignment horizontal="left"/>
    </xf>
    <xf numFmtId="0" fontId="10" fillId="2" borderId="7" xfId="0" applyFont="1" applyFill="1" applyBorder="1" applyAlignment="1" applyProtection="1">
      <alignment horizontal="center"/>
      <protection locked="0"/>
    </xf>
    <xf numFmtId="0" fontId="10" fillId="2" borderId="16" xfId="0" applyFont="1" applyFill="1" applyBorder="1" applyAlignment="1" applyProtection="1">
      <alignment horizontal="center"/>
      <protection locked="0"/>
    </xf>
    <xf numFmtId="3" fontId="10" fillId="4" borderId="7" xfId="0" applyNumberFormat="1" applyFont="1" applyFill="1" applyBorder="1" applyAlignment="1" applyProtection="1">
      <alignment horizontal="center"/>
      <protection locked="0"/>
    </xf>
    <xf numFmtId="0" fontId="2" fillId="5" borderId="10" xfId="0" applyFont="1" applyFill="1" applyBorder="1" applyAlignment="1" applyProtection="1">
      <alignment horizontal="center" vertical="distributed" shrinkToFit="1"/>
    </xf>
    <xf numFmtId="0" fontId="2" fillId="5" borderId="4" xfId="0" applyFont="1" applyFill="1" applyBorder="1" applyAlignment="1" applyProtection="1">
      <alignment horizontal="center" vertical="distributed" shrinkToFit="1"/>
    </xf>
    <xf numFmtId="1" fontId="10" fillId="0" borderId="7" xfId="0" applyNumberFormat="1" applyFont="1" applyFill="1" applyBorder="1" applyAlignment="1" applyProtection="1">
      <alignment horizontal="center" wrapText="1"/>
    </xf>
    <xf numFmtId="1" fontId="10" fillId="0" borderId="16" xfId="0" applyNumberFormat="1" applyFont="1" applyFill="1" applyBorder="1" applyAlignment="1" applyProtection="1">
      <alignment horizontal="center" wrapText="1"/>
    </xf>
    <xf numFmtId="1" fontId="2" fillId="0" borderId="10" xfId="0" applyNumberFormat="1" applyFont="1" applyFill="1" applyBorder="1" applyAlignment="1" applyProtection="1">
      <alignment horizontal="center" vertical="center"/>
    </xf>
    <xf numFmtId="1" fontId="2" fillId="0" borderId="18" xfId="0" applyNumberFormat="1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/>
      <protection locked="0"/>
    </xf>
    <xf numFmtId="0" fontId="10" fillId="0" borderId="5" xfId="0" applyFont="1" applyFill="1" applyBorder="1" applyAlignment="1" applyProtection="1">
      <alignment horizontal="center"/>
      <protection locked="0"/>
    </xf>
    <xf numFmtId="0" fontId="10" fillId="0" borderId="27" xfId="0" applyFont="1" applyFill="1" applyBorder="1" applyAlignment="1" applyProtection="1">
      <alignment horizontal="center"/>
      <protection locked="0"/>
    </xf>
    <xf numFmtId="0" fontId="2" fillId="0" borderId="52" xfId="0" applyFont="1" applyFill="1" applyBorder="1" applyAlignment="1" applyProtection="1">
      <alignment horizontal="left" vertical="top" shrinkToFit="1"/>
      <protection locked="0"/>
    </xf>
    <xf numFmtId="0" fontId="2" fillId="0" borderId="53" xfId="0" applyFont="1" applyFill="1" applyBorder="1" applyAlignment="1" applyProtection="1">
      <alignment horizontal="left" vertical="top" shrinkToFit="1"/>
      <protection locked="0"/>
    </xf>
    <xf numFmtId="0" fontId="2" fillId="0" borderId="54" xfId="0" applyFont="1" applyFill="1" applyBorder="1" applyAlignment="1" applyProtection="1">
      <alignment horizontal="left" vertical="top" shrinkToFit="1"/>
      <protection locked="0"/>
    </xf>
    <xf numFmtId="0" fontId="10" fillId="0" borderId="48" xfId="0" applyFont="1" applyFill="1" applyBorder="1" applyAlignment="1" applyProtection="1">
      <alignment horizontal="left" vertical="top"/>
      <protection locked="0"/>
    </xf>
    <xf numFmtId="0" fontId="10" fillId="0" borderId="49" xfId="0" applyFont="1" applyFill="1" applyBorder="1" applyAlignment="1" applyProtection="1">
      <alignment horizontal="left" vertical="top"/>
      <protection locked="0"/>
    </xf>
    <xf numFmtId="0" fontId="10" fillId="0" borderId="50" xfId="0" applyFont="1" applyFill="1" applyBorder="1" applyAlignment="1" applyProtection="1">
      <alignment horizontal="left" vertical="top"/>
      <protection locked="0"/>
    </xf>
    <xf numFmtId="0" fontId="10" fillId="0" borderId="11" xfId="0" applyFont="1" applyFill="1" applyBorder="1" applyAlignment="1" applyProtection="1">
      <alignment horizontal="center"/>
    </xf>
    <xf numFmtId="0" fontId="10" fillId="0" borderId="34" xfId="0" applyFont="1" applyFill="1" applyBorder="1" applyAlignment="1" applyProtection="1">
      <alignment horizontal="left" vertical="top"/>
      <protection locked="0"/>
    </xf>
    <xf numFmtId="0" fontId="10" fillId="0" borderId="35" xfId="0" applyFont="1" applyFill="1" applyBorder="1" applyAlignment="1" applyProtection="1">
      <alignment horizontal="left" vertical="top"/>
      <protection locked="0"/>
    </xf>
    <xf numFmtId="0" fontId="10" fillId="0" borderId="36" xfId="0" applyFont="1" applyFill="1" applyBorder="1" applyAlignment="1" applyProtection="1">
      <alignment horizontal="left" vertical="top"/>
      <protection locked="0"/>
    </xf>
    <xf numFmtId="0" fontId="10" fillId="0" borderId="11" xfId="0" applyFont="1" applyFill="1" applyBorder="1" applyAlignment="1" applyProtection="1">
      <alignment horizontal="center" shrinkToFit="1"/>
      <protection locked="0"/>
    </xf>
    <xf numFmtId="0" fontId="2" fillId="0" borderId="1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 shrinkToFit="1"/>
    </xf>
    <xf numFmtId="0" fontId="2" fillId="0" borderId="5" xfId="0" applyFont="1" applyFill="1" applyBorder="1" applyAlignment="1" applyProtection="1">
      <alignment horizontal="center" shrinkToFit="1"/>
    </xf>
    <xf numFmtId="0" fontId="10" fillId="0" borderId="28" xfId="0" applyFont="1" applyFill="1" applyBorder="1" applyAlignment="1" applyProtection="1">
      <alignment horizontal="left" vertical="top"/>
      <protection locked="0"/>
    </xf>
    <xf numFmtId="0" fontId="10" fillId="0" borderId="29" xfId="0" applyFont="1" applyFill="1" applyBorder="1" applyAlignment="1" applyProtection="1">
      <alignment horizontal="left" vertical="top"/>
      <protection locked="0"/>
    </xf>
    <xf numFmtId="0" fontId="10" fillId="0" borderId="30" xfId="0" applyFont="1" applyFill="1" applyBorder="1" applyAlignment="1" applyProtection="1">
      <alignment horizontal="left" vertical="top"/>
      <protection locked="0"/>
    </xf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168" fontId="6" fillId="0" borderId="5" xfId="0" applyNumberFormat="1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0" fontId="10" fillId="0" borderId="0" xfId="0" applyFont="1" applyFill="1" applyBorder="1" applyAlignment="1" applyProtection="1">
      <alignment horizontal="center" shrinkToFit="1"/>
      <protection locked="0"/>
    </xf>
    <xf numFmtId="0" fontId="12" fillId="8" borderId="0" xfId="0" applyFont="1" applyFill="1" applyBorder="1" applyAlignment="1" applyProtection="1">
      <alignment horizontal="center" shrinkToFit="1"/>
    </xf>
    <xf numFmtId="0" fontId="12" fillId="0" borderId="0" xfId="0" applyFont="1" applyFill="1" applyBorder="1" applyAlignment="1" applyProtection="1">
      <alignment horizontal="center" shrinkToFit="1"/>
    </xf>
    <xf numFmtId="0" fontId="12" fillId="8" borderId="0" xfId="0" applyFont="1" applyFill="1" applyBorder="1" applyAlignment="1">
      <alignment horizontal="center" shrinkToFit="1"/>
    </xf>
    <xf numFmtId="0" fontId="7" fillId="0" borderId="0" xfId="0" applyFont="1" applyFill="1" applyBorder="1" applyAlignment="1" applyProtection="1">
      <alignment horizontal="center" shrinkToFit="1"/>
      <protection locked="0"/>
    </xf>
    <xf numFmtId="0" fontId="6" fillId="0" borderId="0" xfId="0" applyFont="1" applyFill="1" applyBorder="1" applyAlignment="1" applyProtection="1">
      <alignment horizontal="center" vertical="justify"/>
    </xf>
    <xf numFmtId="0" fontId="6" fillId="0" borderId="0" xfId="0" applyFont="1" applyFill="1" applyBorder="1" applyAlignment="1" applyProtection="1">
      <alignment horizontal="center" shrinkToFit="1"/>
    </xf>
    <xf numFmtId="0" fontId="6" fillId="0" borderId="5" xfId="0" applyFont="1" applyFill="1" applyBorder="1" applyAlignment="1" applyProtection="1">
      <alignment horizontal="center" shrinkToFit="1"/>
      <protection locked="0"/>
    </xf>
    <xf numFmtId="166" fontId="17" fillId="0" borderId="5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11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5" xfId="0" applyFont="1" applyFill="1" applyBorder="1" applyAlignment="1" applyProtection="1">
      <alignment horizontal="center" shrinkToFit="1"/>
      <protection locked="0"/>
    </xf>
    <xf numFmtId="0" fontId="6" fillId="0" borderId="0" xfId="0" applyFont="1" applyFill="1" applyBorder="1" applyAlignment="1" applyProtection="1">
      <alignment horizontal="center" vertical="justify" shrinkToFit="1"/>
    </xf>
    <xf numFmtId="43" fontId="6" fillId="0" borderId="0" xfId="1" applyFont="1" applyFill="1" applyBorder="1" applyAlignment="1" applyProtection="1">
      <alignment horizontal="center" vertical="justify" shrinkToFit="1"/>
    </xf>
    <xf numFmtId="0" fontId="2" fillId="0" borderId="7" xfId="0" applyFont="1" applyFill="1" applyBorder="1" applyAlignment="1" applyProtection="1">
      <alignment horizontal="center" shrinkToFit="1"/>
    </xf>
    <xf numFmtId="0" fontId="2" fillId="0" borderId="11" xfId="0" applyFont="1" applyFill="1" applyBorder="1" applyAlignment="1" applyProtection="1">
      <alignment horizontal="center" shrinkToFit="1"/>
    </xf>
    <xf numFmtId="0" fontId="2" fillId="0" borderId="16" xfId="0" applyFont="1" applyFill="1" applyBorder="1" applyAlignment="1" applyProtection="1">
      <alignment horizontal="center" shrinkToFit="1"/>
    </xf>
    <xf numFmtId="0" fontId="7" fillId="0" borderId="0" xfId="0" applyFont="1" applyFill="1" applyBorder="1" applyAlignment="1" applyProtection="1">
      <alignment horizontal="center" vertical="top" shrinkToFit="1"/>
    </xf>
    <xf numFmtId="0" fontId="10" fillId="0" borderId="11" xfId="0" applyFont="1" applyBorder="1" applyProtection="1"/>
    <xf numFmtId="0" fontId="10" fillId="0" borderId="16" xfId="0" applyFont="1" applyBorder="1" applyProtection="1"/>
    <xf numFmtId="0" fontId="10" fillId="0" borderId="53" xfId="0" applyFont="1" applyFill="1" applyBorder="1" applyAlignment="1" applyProtection="1">
      <alignment horizontal="left" vertical="top" shrinkToFit="1"/>
      <protection locked="0"/>
    </xf>
    <xf numFmtId="0" fontId="10" fillId="0" borderId="53" xfId="0" applyFont="1" applyFill="1" applyBorder="1" applyAlignment="1" applyProtection="1">
      <alignment horizontal="left" vertical="top" wrapText="1"/>
      <protection locked="0"/>
    </xf>
    <xf numFmtId="0" fontId="10" fillId="0" borderId="32" xfId="0" applyFont="1" applyFill="1" applyBorder="1" applyAlignment="1" applyProtection="1">
      <alignment horizontal="left" vertical="top" wrapText="1"/>
      <protection locked="0"/>
    </xf>
    <xf numFmtId="0" fontId="7" fillId="0" borderId="0" xfId="0" applyFont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12" fillId="0" borderId="0" xfId="0" applyFont="1" applyFill="1" applyBorder="1" applyAlignment="1" applyProtection="1">
      <alignment horizontal="center" vertical="top" shrinkToFit="1"/>
    </xf>
  </cellXfs>
  <cellStyles count="3">
    <cellStyle name="Comma" xfId="1" builtinId="3"/>
    <cellStyle name="Normal" xfId="0" builtinId="0"/>
    <cellStyle name="Normal_MF Model 3-25-05a" xfId="2"/>
  </cellStyles>
  <dxfs count="52">
    <dxf>
      <fill>
        <patternFill>
          <bgColor rgb="FFFFFF00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  <fill>
        <patternFill patternType="none">
          <bgColor indexed="65"/>
        </patternFill>
      </fill>
    </dxf>
    <dxf>
      <font>
        <condense val="0"/>
        <extend val="0"/>
        <color indexed="52"/>
      </font>
    </dxf>
    <dxf>
      <font>
        <condense val="0"/>
        <extend val="0"/>
        <color indexed="10"/>
      </font>
    </dxf>
    <dxf>
      <font>
        <color rgb="FFFF0000"/>
      </font>
      <fill>
        <patternFill patternType="none">
          <bgColor auto="1"/>
        </patternFill>
      </fill>
    </dxf>
    <dxf>
      <fill>
        <patternFill>
          <bgColor indexed="10"/>
        </patternFill>
      </fill>
    </dxf>
    <dxf>
      <font>
        <color rgb="FFFF0000"/>
      </font>
      <fill>
        <patternFill patternType="none">
          <bgColor auto="1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</dxf>
    <dxf>
      <font>
        <condense val="0"/>
        <extend val="0"/>
        <color indexed="52"/>
      </font>
    </dxf>
    <dxf>
      <font>
        <condense val="0"/>
        <extend val="0"/>
        <color indexed="57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52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ill>
        <patternFill>
          <bgColor rgb="FFCCFFFF"/>
        </patternFill>
      </fill>
    </dxf>
    <dxf>
      <fill>
        <patternFill>
          <bgColor rgb="FF99CCFF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99CCFF"/>
        </patternFill>
      </fill>
    </dxf>
    <dxf>
      <font>
        <color auto="1"/>
      </font>
      <fill>
        <patternFill>
          <bgColor rgb="FFFF0000"/>
        </patternFill>
      </fill>
    </dxf>
    <dxf>
      <fill>
        <patternFill>
          <bgColor rgb="FFCCFFFF"/>
        </patternFill>
      </fill>
    </dxf>
    <dxf>
      <fill>
        <patternFill>
          <bgColor rgb="FF99CCFF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ont>
        <condense val="0"/>
        <extend val="0"/>
        <color indexed="10"/>
      </font>
      <fill>
        <patternFill patternType="none">
          <bgColor indexed="65"/>
        </patternFill>
      </fill>
    </dxf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104775</xdr:rowOff>
    </xdr:from>
    <xdr:to>
      <xdr:col>1</xdr:col>
      <xdr:colOff>266700</xdr:colOff>
      <xdr:row>4</xdr:row>
      <xdr:rowOff>141968</xdr:rowOff>
    </xdr:to>
    <xdr:pic>
      <xdr:nvPicPr>
        <xdr:cNvPr id="915325" name="Picture 297" descr="new_cewo_revis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104775"/>
          <a:ext cx="1485900" cy="8372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114299</xdr:colOff>
      <xdr:row>43</xdr:row>
      <xdr:rowOff>92075</xdr:rowOff>
    </xdr:from>
    <xdr:to>
      <xdr:col>1</xdr:col>
      <xdr:colOff>333240</xdr:colOff>
      <xdr:row>47</xdr:row>
      <xdr:rowOff>123825</xdr:rowOff>
    </xdr:to>
    <xdr:pic>
      <xdr:nvPicPr>
        <xdr:cNvPr id="915326" name="Picture 298" descr="new_cewo_revis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299" y="9512300"/>
          <a:ext cx="1476241" cy="831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142</xdr:row>
      <xdr:rowOff>66675</xdr:rowOff>
    </xdr:from>
    <xdr:to>
      <xdr:col>1</xdr:col>
      <xdr:colOff>152668</xdr:colOff>
      <xdr:row>146</xdr:row>
      <xdr:rowOff>38100</xdr:rowOff>
    </xdr:to>
    <xdr:pic>
      <xdr:nvPicPr>
        <xdr:cNvPr id="915327" name="Picture 299" descr="new_cewo_revis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29432250"/>
          <a:ext cx="1390918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69850</xdr:colOff>
      <xdr:row>94</xdr:row>
      <xdr:rowOff>34925</xdr:rowOff>
    </xdr:from>
    <xdr:to>
      <xdr:col>1</xdr:col>
      <xdr:colOff>229146</xdr:colOff>
      <xdr:row>97</xdr:row>
      <xdr:rowOff>209550</xdr:rowOff>
    </xdr:to>
    <xdr:pic>
      <xdr:nvPicPr>
        <xdr:cNvPr id="915328" name="Picture 301" descr="new_cewo_revis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850" y="19789775"/>
          <a:ext cx="1416596" cy="774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208</xdr:row>
      <xdr:rowOff>38100</xdr:rowOff>
    </xdr:from>
    <xdr:to>
      <xdr:col>1</xdr:col>
      <xdr:colOff>190500</xdr:colOff>
      <xdr:row>212</xdr:row>
      <xdr:rowOff>26990</xdr:rowOff>
    </xdr:to>
    <xdr:pic>
      <xdr:nvPicPr>
        <xdr:cNvPr id="915329" name="Picture 302" descr="new_cewo_revis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42833925"/>
          <a:ext cx="1400175" cy="788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60324</xdr:colOff>
      <xdr:row>245</xdr:row>
      <xdr:rowOff>73025</xdr:rowOff>
    </xdr:from>
    <xdr:to>
      <xdr:col>1</xdr:col>
      <xdr:colOff>211647</xdr:colOff>
      <xdr:row>249</xdr:row>
      <xdr:rowOff>66675</xdr:rowOff>
    </xdr:to>
    <xdr:pic>
      <xdr:nvPicPr>
        <xdr:cNvPr id="7" name="Picture 302" descr="new_cewo_revis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324" y="50574575"/>
          <a:ext cx="1408623" cy="793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971550</xdr:colOff>
      <xdr:row>0</xdr:row>
      <xdr:rowOff>0</xdr:rowOff>
    </xdr:from>
    <xdr:to>
      <xdr:col>1</xdr:col>
      <xdr:colOff>895986</xdr:colOff>
      <xdr:row>4</xdr:row>
      <xdr:rowOff>79374</xdr:rowOff>
    </xdr:to>
    <xdr:pic>
      <xdr:nvPicPr>
        <xdr:cNvPr id="2" name="Picture 297" descr="new_cewo_revis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71550" y="0"/>
          <a:ext cx="1829436" cy="984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447675</xdr:colOff>
      <xdr:row>4</xdr:row>
      <xdr:rowOff>227892</xdr:rowOff>
    </xdr:to>
    <xdr:pic>
      <xdr:nvPicPr>
        <xdr:cNvPr id="2" name="Picture 799" descr="new_cewo_revis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714500" cy="10279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90</xdr:row>
      <xdr:rowOff>66675</xdr:rowOff>
    </xdr:from>
    <xdr:to>
      <xdr:col>0</xdr:col>
      <xdr:colOff>1085850</xdr:colOff>
      <xdr:row>93</xdr:row>
      <xdr:rowOff>108136</xdr:rowOff>
    </xdr:to>
    <xdr:pic>
      <xdr:nvPicPr>
        <xdr:cNvPr id="3" name="Picture 800" descr="new_cewo_revis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487900"/>
          <a:ext cx="10858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47625</xdr:colOff>
      <xdr:row>208</xdr:row>
      <xdr:rowOff>85725</xdr:rowOff>
    </xdr:from>
    <xdr:to>
      <xdr:col>1</xdr:col>
      <xdr:colOff>19050</xdr:colOff>
      <xdr:row>211</xdr:row>
      <xdr:rowOff>127187</xdr:rowOff>
    </xdr:to>
    <xdr:pic>
      <xdr:nvPicPr>
        <xdr:cNvPr id="4" name="Picture 801" descr="new_cewo_revise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36499800"/>
          <a:ext cx="1238250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/>
  <dimension ref="A1:W290"/>
  <sheetViews>
    <sheetView showGridLines="0" tabSelected="1" zoomScaleSheetLayoutView="75" workbookViewId="0">
      <selection activeCell="D16" sqref="D16:E16"/>
    </sheetView>
  </sheetViews>
  <sheetFormatPr defaultColWidth="8.85546875" defaultRowHeight="15.75" x14ac:dyDescent="0.25"/>
  <cols>
    <col min="1" max="1" width="18.85546875" style="106" bestFit="1" customWidth="1"/>
    <col min="2" max="2" width="18.7109375" style="106" bestFit="1" customWidth="1"/>
    <col min="3" max="3" width="19.85546875" style="106" customWidth="1"/>
    <col min="4" max="4" width="13.42578125" style="106" customWidth="1"/>
    <col min="5" max="5" width="17.85546875" style="106" customWidth="1"/>
    <col min="6" max="6" width="21.42578125" style="106" customWidth="1"/>
    <col min="7" max="7" width="13.85546875" style="106" customWidth="1"/>
    <col min="8" max="8" width="15" style="106" customWidth="1"/>
    <col min="9" max="10" width="16.42578125" style="106" customWidth="1"/>
    <col min="11" max="11" width="15.42578125" style="106" bestFit="1" customWidth="1"/>
    <col min="12" max="12" width="22.140625" style="106" customWidth="1"/>
    <col min="13" max="13" width="11.140625" style="106" customWidth="1"/>
    <col min="14" max="14" width="16" style="106" customWidth="1"/>
    <col min="15" max="15" width="15.85546875" style="106" customWidth="1"/>
    <col min="16" max="16384" width="8.85546875" style="106"/>
  </cols>
  <sheetData>
    <row r="1" spans="1:15" x14ac:dyDescent="0.25">
      <c r="A1" s="160"/>
      <c r="B1" s="160"/>
      <c r="C1" s="160"/>
      <c r="D1" s="160"/>
      <c r="E1" s="160"/>
      <c r="F1" s="160"/>
      <c r="G1" s="160"/>
      <c r="H1" s="160"/>
      <c r="I1" s="160"/>
      <c r="J1" s="160"/>
      <c r="K1" s="160"/>
      <c r="L1" s="160"/>
    </row>
    <row r="2" spans="1:15" x14ac:dyDescent="0.2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</row>
    <row r="3" spans="1:15" x14ac:dyDescent="0.25">
      <c r="A3" s="160"/>
      <c r="B3" s="160"/>
      <c r="C3" s="160"/>
      <c r="D3" s="160"/>
      <c r="E3" s="160"/>
      <c r="F3" s="160"/>
      <c r="G3" s="160"/>
      <c r="H3" s="160"/>
      <c r="I3" s="160"/>
      <c r="J3" s="160"/>
      <c r="K3" s="160"/>
      <c r="L3" s="160"/>
    </row>
    <row r="4" spans="1:15" x14ac:dyDescent="0.25">
      <c r="A4" s="160"/>
      <c r="B4" s="160"/>
      <c r="C4" s="160"/>
      <c r="D4" s="160"/>
      <c r="E4" s="160"/>
      <c r="F4" s="160"/>
      <c r="G4" s="160"/>
      <c r="H4" s="160"/>
      <c r="I4" s="160"/>
      <c r="J4" s="160"/>
      <c r="K4" s="160"/>
      <c r="L4" s="160"/>
    </row>
    <row r="5" spans="1:15" ht="25.5" x14ac:dyDescent="0.35">
      <c r="A5" s="382" t="s">
        <v>498</v>
      </c>
      <c r="B5" s="382"/>
      <c r="C5" s="382"/>
      <c r="D5" s="382"/>
      <c r="E5" s="382"/>
      <c r="F5" s="382"/>
      <c r="G5" s="382"/>
      <c r="H5" s="382"/>
      <c r="I5" s="382"/>
      <c r="J5" s="382"/>
      <c r="K5" s="382"/>
      <c r="L5" s="382"/>
    </row>
    <row r="6" spans="1:15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1:15" x14ac:dyDescent="0.25">
      <c r="A7" s="362" t="s">
        <v>566</v>
      </c>
      <c r="B7" s="362"/>
      <c r="C7" s="269">
        <v>40879</v>
      </c>
      <c r="D7" s="355" t="s">
        <v>519</v>
      </c>
      <c r="E7" s="355"/>
      <c r="F7" s="259">
        <v>1912</v>
      </c>
      <c r="G7" s="373" t="s">
        <v>521</v>
      </c>
      <c r="H7" s="373"/>
      <c r="I7" s="263"/>
      <c r="J7" s="362" t="s">
        <v>269</v>
      </c>
      <c r="K7" s="362"/>
      <c r="L7" s="263" t="s">
        <v>911</v>
      </c>
      <c r="M7" s="362"/>
      <c r="N7" s="362"/>
      <c r="O7" s="98"/>
    </row>
    <row r="8" spans="1:15" x14ac:dyDescent="0.25">
      <c r="A8" s="362" t="s">
        <v>821</v>
      </c>
      <c r="B8" s="362"/>
      <c r="C8" s="256" t="s">
        <v>348</v>
      </c>
      <c r="D8" s="355" t="s">
        <v>523</v>
      </c>
      <c r="E8" s="355"/>
      <c r="F8" s="260">
        <v>1.5</v>
      </c>
      <c r="G8" s="373" t="s">
        <v>522</v>
      </c>
      <c r="H8" s="373"/>
      <c r="I8" s="261"/>
      <c r="J8" s="362" t="s">
        <v>239</v>
      </c>
      <c r="K8" s="362"/>
      <c r="L8" s="264" t="s">
        <v>912</v>
      </c>
      <c r="M8" s="362"/>
      <c r="N8" s="362"/>
      <c r="O8" s="162"/>
    </row>
    <row r="9" spans="1:15" ht="12.75" customHeight="1" x14ac:dyDescent="0.25">
      <c r="A9" s="362" t="s">
        <v>427</v>
      </c>
      <c r="B9" s="362"/>
      <c r="C9" s="256" t="s">
        <v>919</v>
      </c>
      <c r="D9" s="368" t="s">
        <v>642</v>
      </c>
      <c r="E9" s="368"/>
      <c r="F9" s="261" t="s">
        <v>751</v>
      </c>
      <c r="G9" s="295" t="s">
        <v>711</v>
      </c>
      <c r="H9" s="387"/>
      <c r="I9" s="261" t="s">
        <v>716</v>
      </c>
      <c r="J9" s="363" t="s">
        <v>516</v>
      </c>
      <c r="K9" s="363"/>
      <c r="L9" s="257" t="s">
        <v>534</v>
      </c>
      <c r="M9" s="362"/>
      <c r="N9" s="362"/>
      <c r="O9" s="163"/>
    </row>
    <row r="10" spans="1:15" ht="12.75" customHeight="1" x14ac:dyDescent="0.25">
      <c r="A10" s="362" t="s">
        <v>514</v>
      </c>
      <c r="B10" s="362"/>
      <c r="C10" s="256" t="s">
        <v>909</v>
      </c>
      <c r="D10" s="368" t="s">
        <v>644</v>
      </c>
      <c r="E10" s="368"/>
      <c r="F10" s="261"/>
      <c r="G10" s="295" t="s">
        <v>861</v>
      </c>
      <c r="H10" s="295"/>
      <c r="I10" s="261" t="s">
        <v>714</v>
      </c>
      <c r="J10" s="364" t="s">
        <v>349</v>
      </c>
      <c r="K10" s="364"/>
      <c r="L10" s="256" t="s">
        <v>913</v>
      </c>
      <c r="M10" s="363"/>
      <c r="N10" s="363"/>
      <c r="O10" s="163"/>
    </row>
    <row r="11" spans="1:15" ht="12.75" customHeight="1" x14ac:dyDescent="0.25">
      <c r="A11" s="362" t="s">
        <v>700</v>
      </c>
      <c r="B11" s="362"/>
      <c r="C11" s="256"/>
      <c r="D11" s="368" t="s">
        <v>643</v>
      </c>
      <c r="E11" s="368"/>
      <c r="F11" s="261"/>
      <c r="G11" s="295" t="s">
        <v>719</v>
      </c>
      <c r="H11" s="295"/>
      <c r="I11" s="261" t="s">
        <v>720</v>
      </c>
      <c r="J11" s="364" t="s">
        <v>517</v>
      </c>
      <c r="K11" s="364"/>
      <c r="L11" s="256" t="s">
        <v>914</v>
      </c>
      <c r="M11" s="364"/>
      <c r="N11" s="364"/>
      <c r="O11" s="164"/>
    </row>
    <row r="12" spans="1:15" ht="12.75" customHeight="1" x14ac:dyDescent="0.25">
      <c r="A12" s="362" t="s">
        <v>515</v>
      </c>
      <c r="B12" s="362"/>
      <c r="C12" s="257"/>
      <c r="D12" s="355" t="s">
        <v>234</v>
      </c>
      <c r="E12" s="355"/>
      <c r="F12" s="260" t="s">
        <v>260</v>
      </c>
      <c r="G12" s="295" t="s">
        <v>259</v>
      </c>
      <c r="H12" s="295"/>
      <c r="I12" s="260" t="s">
        <v>775</v>
      </c>
      <c r="J12" s="362" t="s">
        <v>37</v>
      </c>
      <c r="K12" s="362"/>
      <c r="L12" s="261" t="s">
        <v>585</v>
      </c>
      <c r="M12" s="364"/>
      <c r="N12" s="364"/>
      <c r="O12" s="165"/>
    </row>
    <row r="13" spans="1:15" x14ac:dyDescent="0.25">
      <c r="A13" s="363" t="s">
        <v>516</v>
      </c>
      <c r="B13" s="363"/>
      <c r="C13" s="257" t="s">
        <v>534</v>
      </c>
      <c r="D13" s="355" t="s">
        <v>233</v>
      </c>
      <c r="E13" s="355"/>
      <c r="F13" s="260" t="s">
        <v>225</v>
      </c>
      <c r="G13" s="388" t="s">
        <v>520</v>
      </c>
      <c r="H13" s="387"/>
      <c r="I13" s="261" t="s">
        <v>787</v>
      </c>
      <c r="J13" s="362" t="s">
        <v>272</v>
      </c>
      <c r="K13" s="362"/>
      <c r="L13" s="261" t="s">
        <v>585</v>
      </c>
      <c r="M13" s="362"/>
      <c r="N13" s="362"/>
      <c r="O13" s="165"/>
    </row>
    <row r="14" spans="1:15" x14ac:dyDescent="0.25">
      <c r="A14" s="364" t="s">
        <v>349</v>
      </c>
      <c r="B14" s="364"/>
      <c r="C14" s="258">
        <v>97206</v>
      </c>
      <c r="D14" s="388" t="s">
        <v>734</v>
      </c>
      <c r="E14" s="388"/>
      <c r="F14" s="262" t="s">
        <v>736</v>
      </c>
      <c r="G14" s="392" t="s">
        <v>827</v>
      </c>
      <c r="H14" s="387"/>
      <c r="I14" s="261" t="s">
        <v>240</v>
      </c>
      <c r="J14" s="361" t="s">
        <v>298</v>
      </c>
      <c r="K14" s="361"/>
      <c r="L14" s="261" t="s">
        <v>585</v>
      </c>
    </row>
    <row r="15" spans="1:15" ht="13.5" customHeight="1" x14ac:dyDescent="0.25">
      <c r="A15" s="364" t="s">
        <v>517</v>
      </c>
      <c r="B15" s="364"/>
      <c r="C15" s="258"/>
      <c r="D15" s="295" t="s">
        <v>735</v>
      </c>
      <c r="E15" s="295"/>
      <c r="F15" s="261" t="s">
        <v>723</v>
      </c>
      <c r="G15" s="388" t="s">
        <v>299</v>
      </c>
      <c r="H15" s="387"/>
      <c r="I15" s="261" t="s">
        <v>585</v>
      </c>
      <c r="J15" s="361" t="s">
        <v>546</v>
      </c>
      <c r="K15" s="361"/>
      <c r="L15" s="261" t="s">
        <v>585</v>
      </c>
    </row>
    <row r="16" spans="1:15" x14ac:dyDescent="0.25">
      <c r="A16" s="362" t="s">
        <v>19</v>
      </c>
      <c r="B16" s="362"/>
      <c r="C16" s="258">
        <v>3148</v>
      </c>
      <c r="D16" s="373" t="s">
        <v>831</v>
      </c>
      <c r="E16" s="373"/>
      <c r="F16" s="260" t="s">
        <v>29</v>
      </c>
      <c r="G16" s="373" t="s">
        <v>659</v>
      </c>
      <c r="H16" s="373"/>
      <c r="I16" s="264" t="s">
        <v>723</v>
      </c>
      <c r="J16" s="361" t="s">
        <v>842</v>
      </c>
      <c r="K16" s="361"/>
      <c r="L16" s="261" t="s">
        <v>585</v>
      </c>
    </row>
    <row r="17" spans="1:14" x14ac:dyDescent="0.25">
      <c r="A17" s="362"/>
      <c r="B17" s="362"/>
      <c r="C17" s="166"/>
      <c r="D17" s="373"/>
      <c r="E17" s="373"/>
      <c r="F17" s="44"/>
      <c r="L17" s="98"/>
    </row>
    <row r="18" spans="1:14" x14ac:dyDescent="0.25">
      <c r="A18" s="137"/>
      <c r="B18" s="44"/>
      <c r="C18" s="44"/>
      <c r="D18" s="167"/>
      <c r="E18" s="10"/>
      <c r="F18" s="137"/>
      <c r="G18" s="40"/>
      <c r="H18" s="168"/>
      <c r="I18" s="137"/>
      <c r="J18" s="10"/>
      <c r="K18" s="41"/>
      <c r="L18" s="168"/>
    </row>
    <row r="19" spans="1:14" ht="20.25" x14ac:dyDescent="0.3">
      <c r="A19" s="335" t="s">
        <v>703</v>
      </c>
      <c r="B19" s="335"/>
      <c r="C19" s="335"/>
      <c r="D19" s="335"/>
      <c r="E19" s="335"/>
      <c r="F19" s="335"/>
      <c r="G19" s="335"/>
      <c r="H19" s="335"/>
      <c r="I19" s="335"/>
      <c r="J19" s="335"/>
      <c r="K19" s="335"/>
      <c r="L19" s="335"/>
    </row>
    <row r="20" spans="1:14" x14ac:dyDescent="0.25">
      <c r="A20" s="38"/>
      <c r="B20" s="38"/>
      <c r="C20" s="38"/>
      <c r="D20" s="38"/>
      <c r="E20" s="38"/>
      <c r="F20" s="38"/>
      <c r="G20" s="38"/>
      <c r="H20" s="38"/>
      <c r="I20" s="38"/>
      <c r="J20" s="38"/>
      <c r="K20" s="38"/>
    </row>
    <row r="21" spans="1:14" ht="47.25" x14ac:dyDescent="0.25">
      <c r="A21" s="389" t="s">
        <v>654</v>
      </c>
      <c r="B21" s="127" t="s">
        <v>734</v>
      </c>
      <c r="C21" s="128" t="s">
        <v>192</v>
      </c>
      <c r="D21" s="128" t="s">
        <v>190</v>
      </c>
      <c r="E21" s="128" t="s">
        <v>191</v>
      </c>
      <c r="F21" s="129" t="s">
        <v>484</v>
      </c>
      <c r="G21" s="129" t="s">
        <v>704</v>
      </c>
      <c r="H21" s="129" t="s">
        <v>705</v>
      </c>
      <c r="I21" s="129" t="s">
        <v>706</v>
      </c>
    </row>
    <row r="22" spans="1:14" ht="25.5" customHeight="1" x14ac:dyDescent="0.25">
      <c r="A22" s="361"/>
      <c r="B22" s="130"/>
      <c r="C22" s="131">
        <v>750</v>
      </c>
      <c r="D22" s="130">
        <v>350</v>
      </c>
      <c r="E22" s="130"/>
      <c r="F22" s="132">
        <f>B22+C22+D22+E22</f>
        <v>1100</v>
      </c>
      <c r="G22" s="133"/>
      <c r="H22" s="433">
        <f>(B22*B23)+(C22*C23)+(D22*D23)+(E22*E23)</f>
        <v>9175</v>
      </c>
      <c r="I22" s="385"/>
    </row>
    <row r="23" spans="1:14" ht="24.75" customHeight="1" x14ac:dyDescent="0.25">
      <c r="A23" s="45" t="s">
        <v>702</v>
      </c>
      <c r="B23" s="130"/>
      <c r="C23" s="131">
        <v>8.5</v>
      </c>
      <c r="D23" s="130">
        <v>8</v>
      </c>
      <c r="E23" s="130"/>
      <c r="F23" s="132"/>
      <c r="G23" s="134">
        <f>IF(F22=0, " ", (H22/F22))</f>
        <v>8.3409090909090917</v>
      </c>
      <c r="H23" s="434"/>
      <c r="I23" s="386"/>
    </row>
    <row r="24" spans="1:14" x14ac:dyDescent="0.25">
      <c r="A24" s="45"/>
      <c r="B24" s="45" t="s">
        <v>107</v>
      </c>
      <c r="C24" s="49"/>
      <c r="D24" s="45" t="s">
        <v>564</v>
      </c>
      <c r="E24" s="49"/>
      <c r="F24" s="132" t="str">
        <f>IF(C24=0, " ", C24*E24)</f>
        <v xml:space="preserve"> </v>
      </c>
      <c r="G24" s="135"/>
      <c r="H24" s="136"/>
      <c r="I24" s="137"/>
      <c r="J24" s="45"/>
    </row>
    <row r="25" spans="1:14" x14ac:dyDescent="0.25">
      <c r="A25" s="41"/>
      <c r="B25" s="41"/>
      <c r="C25" s="41"/>
      <c r="D25" s="41"/>
      <c r="E25" s="41"/>
      <c r="F25" s="41"/>
      <c r="G25" s="41"/>
      <c r="H25" s="274"/>
      <c r="I25" s="38"/>
      <c r="J25" s="41"/>
      <c r="K25" s="38"/>
      <c r="L25" s="47"/>
    </row>
    <row r="26" spans="1:14" x14ac:dyDescent="0.25">
      <c r="A26" s="361" t="s">
        <v>701</v>
      </c>
      <c r="B26" s="383">
        <v>1.5</v>
      </c>
      <c r="C26" s="361" t="s">
        <v>797</v>
      </c>
      <c r="D26" s="383">
        <v>1</v>
      </c>
      <c r="E26" s="361" t="s">
        <v>661</v>
      </c>
      <c r="F26" s="383">
        <v>2</v>
      </c>
      <c r="G26" s="43"/>
      <c r="H26" s="44"/>
      <c r="I26" s="47"/>
    </row>
    <row r="27" spans="1:14" x14ac:dyDescent="0.25">
      <c r="A27" s="361"/>
      <c r="B27" s="384"/>
      <c r="C27" s="361"/>
      <c r="D27" s="384"/>
      <c r="E27" s="361"/>
      <c r="F27" s="384"/>
      <c r="G27" s="41"/>
      <c r="H27" s="41"/>
      <c r="I27" s="41"/>
      <c r="J27" s="41"/>
      <c r="K27" s="43"/>
      <c r="L27" s="43"/>
      <c r="M27" s="47"/>
    </row>
    <row r="28" spans="1:14" ht="25.5" customHeight="1" x14ac:dyDescent="0.3">
      <c r="A28" s="358" t="s">
        <v>552</v>
      </c>
      <c r="B28" s="358"/>
      <c r="C28" s="358"/>
      <c r="D28" s="358"/>
      <c r="E28" s="358"/>
      <c r="F28" s="358"/>
      <c r="G28" s="358"/>
      <c r="H28" s="358"/>
      <c r="I28" s="358"/>
      <c r="J28" s="358"/>
      <c r="K28" s="358"/>
      <c r="L28" s="358"/>
      <c r="M28" s="47"/>
    </row>
    <row r="29" spans="1:14" x14ac:dyDescent="0.25">
      <c r="B29" s="43"/>
      <c r="C29" s="43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7"/>
    </row>
    <row r="30" spans="1:14" x14ac:dyDescent="0.25">
      <c r="B30" s="359" t="s">
        <v>739</v>
      </c>
      <c r="C30" s="360"/>
      <c r="D30" s="391" t="s">
        <v>740</v>
      </c>
      <c r="E30" s="360"/>
      <c r="F30" s="391" t="s">
        <v>741</v>
      </c>
      <c r="G30" s="367"/>
      <c r="H30" s="356" t="s">
        <v>744</v>
      </c>
      <c r="I30" s="357"/>
      <c r="J30" s="138"/>
      <c r="L30" s="47"/>
      <c r="M30" s="47"/>
      <c r="N30" s="47"/>
    </row>
    <row r="31" spans="1:14" x14ac:dyDescent="0.25">
      <c r="B31" s="139" t="s">
        <v>742</v>
      </c>
      <c r="C31" s="140" t="s">
        <v>744</v>
      </c>
      <c r="D31" s="141" t="s">
        <v>797</v>
      </c>
      <c r="E31" s="142" t="s">
        <v>744</v>
      </c>
      <c r="F31" s="143" t="s">
        <v>798</v>
      </c>
      <c r="G31" s="139" t="s">
        <v>744</v>
      </c>
      <c r="H31" s="318" t="s">
        <v>799</v>
      </c>
      <c r="I31" s="318"/>
      <c r="J31" s="138"/>
      <c r="L31" s="47"/>
      <c r="M31" s="47"/>
      <c r="N31" s="47"/>
    </row>
    <row r="32" spans="1:14" x14ac:dyDescent="0.25">
      <c r="B32" s="77">
        <f>MAX(H22,I22)</f>
        <v>9175</v>
      </c>
      <c r="C32" s="144">
        <f>IF(B32=" "," ",(B32*0.35/60))</f>
        <v>53.520833333333336</v>
      </c>
      <c r="D32" s="77">
        <f>D26</f>
        <v>1</v>
      </c>
      <c r="E32" s="50">
        <f>D32*15</f>
        <v>15</v>
      </c>
      <c r="F32" s="50">
        <f>F26</f>
        <v>2</v>
      </c>
      <c r="G32" s="145">
        <f>IF(F32=0," ",(F32+1)*15)</f>
        <v>45</v>
      </c>
      <c r="H32" s="431">
        <f>MAX(C32,E32,G32)</f>
        <v>53.520833333333336</v>
      </c>
      <c r="I32" s="432"/>
      <c r="J32" s="138"/>
      <c r="L32" s="47"/>
      <c r="M32" s="47"/>
      <c r="N32" s="47"/>
    </row>
    <row r="33" spans="1:14" x14ac:dyDescent="0.25">
      <c r="A33" s="138"/>
      <c r="B33" s="138"/>
      <c r="C33" s="138"/>
      <c r="D33" s="138"/>
      <c r="E33" s="138"/>
      <c r="F33" s="138"/>
      <c r="G33" s="138"/>
      <c r="H33" s="138"/>
      <c r="I33" s="138"/>
      <c r="K33" s="47"/>
      <c r="L33" s="138"/>
      <c r="M33" s="47"/>
    </row>
    <row r="34" spans="1:14" ht="17.25" x14ac:dyDescent="0.3">
      <c r="A34" s="146" t="s">
        <v>800</v>
      </c>
      <c r="B34" s="146" t="s">
        <v>801</v>
      </c>
      <c r="C34" s="147" t="s">
        <v>802</v>
      </c>
      <c r="D34" s="42" t="s">
        <v>687</v>
      </c>
      <c r="E34" s="42" t="s">
        <v>744</v>
      </c>
      <c r="F34" s="146" t="s">
        <v>25</v>
      </c>
      <c r="G34" s="148" t="s">
        <v>599</v>
      </c>
      <c r="H34" s="146" t="s">
        <v>862</v>
      </c>
      <c r="I34" s="149" t="s">
        <v>598</v>
      </c>
      <c r="J34" s="42" t="s">
        <v>810</v>
      </c>
      <c r="K34" s="150" t="s">
        <v>743</v>
      </c>
      <c r="L34" s="150" t="s">
        <v>478</v>
      </c>
      <c r="M34" s="47"/>
    </row>
    <row r="35" spans="1:14" x14ac:dyDescent="0.25">
      <c r="A35" s="108">
        <v>20</v>
      </c>
      <c r="B35" s="50">
        <f>B26</f>
        <v>1.5</v>
      </c>
      <c r="C35" s="145">
        <f>IF(B35=0," ",IF(B35=1,1, IF(B35=1.5,0.89,IF(B35=2,0.81,IF(B35=2.5,0.76,IF(B35=3,0.72))))))</f>
        <v>0.89</v>
      </c>
      <c r="D35" s="89">
        <f>IF(C35=" ",0,A35*C35)</f>
        <v>17.8</v>
      </c>
      <c r="E35" s="144">
        <f>H32</f>
        <v>53.520833333333336</v>
      </c>
      <c r="F35" s="91">
        <f>D35*E35</f>
        <v>952.67083333333346</v>
      </c>
      <c r="G35" s="151">
        <f>F35*0.7</f>
        <v>666.86958333333337</v>
      </c>
      <c r="H35" s="152">
        <f>I39</f>
        <v>6500</v>
      </c>
      <c r="I35" s="153">
        <f>IF(F35=0," ",(H35/F35))</f>
        <v>6.822923272728862</v>
      </c>
      <c r="J35" s="154">
        <f>IF(B32=0," ",((H35*60)/B32))</f>
        <v>42.506811989100818</v>
      </c>
      <c r="K35" s="154">
        <f>IF(J35=" "," ",(J35/(D35)))</f>
        <v>2.3880231454551022</v>
      </c>
      <c r="L35" s="152">
        <f>IF(D35=0, " ", H35/(D35))</f>
        <v>365.16853932584269</v>
      </c>
      <c r="M35" s="47"/>
    </row>
    <row r="36" spans="1:14" x14ac:dyDescent="0.25">
      <c r="B36" s="48"/>
      <c r="C36" s="48"/>
      <c r="D36" s="48"/>
      <c r="E36" s="155"/>
      <c r="F36" s="156"/>
      <c r="G36" s="157"/>
      <c r="H36" s="156"/>
      <c r="I36" s="158"/>
      <c r="J36" s="158"/>
      <c r="K36" s="159"/>
      <c r="L36" s="159"/>
      <c r="M36" s="169"/>
      <c r="N36" s="47"/>
    </row>
    <row r="37" spans="1:14" ht="16.5" customHeight="1" x14ac:dyDescent="0.3">
      <c r="A37" s="390" t="s">
        <v>764</v>
      </c>
      <c r="B37" s="390"/>
      <c r="C37" s="390"/>
      <c r="D37" s="390"/>
      <c r="E37" s="390"/>
      <c r="F37" s="390"/>
      <c r="G37" s="390"/>
      <c r="H37" s="390"/>
      <c r="I37" s="390"/>
      <c r="J37" s="390"/>
      <c r="K37" s="390"/>
      <c r="L37" s="390"/>
    </row>
    <row r="38" spans="1:14" ht="16.5" customHeight="1" x14ac:dyDescent="0.25"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</row>
    <row r="39" spans="1:14" x14ac:dyDescent="0.25">
      <c r="A39" s="312" t="s">
        <v>482</v>
      </c>
      <c r="B39" s="312"/>
      <c r="C39" s="276">
        <v>0.1</v>
      </c>
      <c r="D39" s="40" t="s">
        <v>804</v>
      </c>
      <c r="E39" s="276" t="s">
        <v>805</v>
      </c>
      <c r="F39" s="265" t="s">
        <v>803</v>
      </c>
      <c r="G39" s="276">
        <v>-65</v>
      </c>
      <c r="H39" s="38" t="s">
        <v>600</v>
      </c>
      <c r="I39" s="276">
        <v>6500</v>
      </c>
      <c r="J39" s="312" t="s">
        <v>301</v>
      </c>
      <c r="K39" s="365"/>
      <c r="L39" s="276">
        <v>1000</v>
      </c>
    </row>
    <row r="40" spans="1:14" x14ac:dyDescent="0.25">
      <c r="B40" s="44"/>
      <c r="C40" s="44"/>
      <c r="D40" s="44"/>
      <c r="E40" s="48"/>
      <c r="F40" s="40"/>
      <c r="G40" s="40"/>
      <c r="H40" s="48"/>
      <c r="I40" s="40"/>
      <c r="J40" s="40"/>
      <c r="K40" s="48"/>
      <c r="L40" s="38"/>
      <c r="M40" s="48"/>
    </row>
    <row r="41" spans="1:14" x14ac:dyDescent="0.25">
      <c r="A41" s="160"/>
      <c r="B41" s="160"/>
      <c r="C41" s="160"/>
      <c r="D41" s="160"/>
      <c r="E41" s="160"/>
      <c r="F41" s="160"/>
      <c r="G41" s="160"/>
      <c r="H41" s="160"/>
      <c r="I41" s="161" t="str">
        <f>IF(L16="yes", "* Vermiculite Present, Blower door test not performed because of Health and Safety Hazard *", " ")</f>
        <v xml:space="preserve"> </v>
      </c>
      <c r="J41" s="160"/>
      <c r="K41" s="160"/>
      <c r="L41" s="160"/>
    </row>
    <row r="42" spans="1:14" x14ac:dyDescent="0.25">
      <c r="A42" s="312" t="s">
        <v>653</v>
      </c>
      <c r="B42" s="312"/>
      <c r="C42" s="273">
        <v>50</v>
      </c>
      <c r="D42" s="44" t="s">
        <v>189</v>
      </c>
      <c r="E42" s="273"/>
      <c r="F42" s="48"/>
      <c r="G42" s="312" t="s">
        <v>187</v>
      </c>
      <c r="H42" s="312"/>
      <c r="I42" s="273">
        <f>I39*E42</f>
        <v>0</v>
      </c>
      <c r="J42" s="312" t="s">
        <v>136</v>
      </c>
      <c r="K42" s="312"/>
      <c r="L42" s="276"/>
    </row>
    <row r="43" spans="1:14" x14ac:dyDescent="0.25">
      <c r="A43" s="160"/>
      <c r="B43" s="160"/>
      <c r="C43" s="160"/>
      <c r="D43" s="160"/>
      <c r="E43" s="160"/>
      <c r="F43" s="160"/>
      <c r="G43" s="160"/>
      <c r="H43" s="160"/>
      <c r="I43" s="160"/>
      <c r="J43" s="44"/>
      <c r="K43" s="44"/>
      <c r="L43" s="160"/>
    </row>
    <row r="44" spans="1:14" x14ac:dyDescent="0.25">
      <c r="A44" s="160"/>
      <c r="B44" s="160"/>
      <c r="C44" s="160"/>
      <c r="D44" s="160"/>
      <c r="E44" s="160"/>
      <c r="F44" s="160"/>
      <c r="G44" s="160"/>
      <c r="H44" s="160"/>
      <c r="I44" s="160"/>
      <c r="J44" s="44"/>
      <c r="K44" s="44"/>
      <c r="L44" s="160"/>
    </row>
    <row r="45" spans="1:14" x14ac:dyDescent="0.25">
      <c r="A45" s="160"/>
      <c r="B45" s="160"/>
      <c r="C45" s="160"/>
      <c r="D45" s="160"/>
      <c r="E45" s="160"/>
      <c r="F45" s="160"/>
      <c r="G45" s="160"/>
      <c r="H45" s="160"/>
      <c r="I45" s="160"/>
      <c r="J45" s="44"/>
      <c r="K45" s="44"/>
      <c r="L45" s="160"/>
    </row>
    <row r="46" spans="1:14" x14ac:dyDescent="0.25">
      <c r="A46" s="160"/>
      <c r="B46" s="160"/>
      <c r="C46" s="160"/>
      <c r="D46" s="160"/>
      <c r="E46" s="160"/>
      <c r="F46" s="160"/>
      <c r="G46" s="160"/>
      <c r="H46" s="160"/>
      <c r="I46" s="160"/>
      <c r="J46" s="160"/>
      <c r="K46" s="160"/>
      <c r="L46" s="160"/>
    </row>
    <row r="47" spans="1:14" x14ac:dyDescent="0.25">
      <c r="A47" s="160"/>
      <c r="B47" s="160"/>
      <c r="C47" s="160"/>
      <c r="D47" s="160"/>
      <c r="E47" s="160"/>
      <c r="F47" s="160"/>
      <c r="G47" s="160"/>
      <c r="H47" s="160"/>
      <c r="I47" s="160"/>
      <c r="J47" s="160"/>
      <c r="K47" s="160"/>
      <c r="L47" s="160"/>
    </row>
    <row r="48" spans="1:14" ht="20.25" x14ac:dyDescent="0.3">
      <c r="A48" s="335" t="s">
        <v>694</v>
      </c>
      <c r="B48" s="335"/>
      <c r="C48" s="335"/>
      <c r="D48" s="335"/>
      <c r="E48" s="335"/>
      <c r="F48" s="335"/>
      <c r="G48" s="335"/>
      <c r="H48" s="335"/>
      <c r="I48" s="335"/>
      <c r="J48" s="335"/>
      <c r="K48" s="335"/>
      <c r="L48" s="335"/>
    </row>
    <row r="49" spans="1:12" x14ac:dyDescent="0.2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</row>
    <row r="50" spans="1:12" x14ac:dyDescent="0.25">
      <c r="A50" s="429" t="s">
        <v>647</v>
      </c>
      <c r="B50" s="170" t="s">
        <v>648</v>
      </c>
      <c r="C50" s="171" t="s">
        <v>195</v>
      </c>
      <c r="D50" s="171" t="s">
        <v>821</v>
      </c>
      <c r="E50" s="171" t="s">
        <v>649</v>
      </c>
      <c r="F50" s="42" t="s">
        <v>650</v>
      </c>
      <c r="G50" s="42" t="s">
        <v>812</v>
      </c>
      <c r="H50" s="38"/>
      <c r="I50" s="38"/>
      <c r="J50" s="328" t="s">
        <v>491</v>
      </c>
      <c r="K50" s="328"/>
      <c r="L50" s="328"/>
    </row>
    <row r="51" spans="1:12" x14ac:dyDescent="0.25">
      <c r="A51" s="430"/>
      <c r="B51" s="63"/>
      <c r="C51" s="172"/>
      <c r="D51" s="63"/>
      <c r="E51" s="63"/>
      <c r="F51" s="63"/>
      <c r="G51" s="63"/>
      <c r="H51" s="393" t="s">
        <v>907</v>
      </c>
      <c r="I51" s="369"/>
      <c r="J51" s="173"/>
      <c r="K51" s="49" t="s">
        <v>888</v>
      </c>
      <c r="L51" s="174" t="e">
        <f>IF(F22=0, " ", IF(J54=0," ",(J54/F22)))</f>
        <v>#VALUE!</v>
      </c>
    </row>
    <row r="52" spans="1:12" x14ac:dyDescent="0.25">
      <c r="A52" s="175"/>
      <c r="B52" s="63"/>
      <c r="C52" s="172"/>
      <c r="D52" s="63"/>
      <c r="E52" s="63"/>
      <c r="F52" s="63"/>
      <c r="G52" s="63"/>
      <c r="H52" s="393" t="s">
        <v>653</v>
      </c>
      <c r="I52" s="369"/>
      <c r="J52" s="176" t="s">
        <v>915</v>
      </c>
      <c r="K52" s="49" t="s">
        <v>755</v>
      </c>
      <c r="L52" s="77" t="e">
        <f>IF(J54=0," ",J54*0.5)</f>
        <v>#VALUE!</v>
      </c>
    </row>
    <row r="53" spans="1:12" ht="16.5" thickBot="1" x14ac:dyDescent="0.3">
      <c r="A53" s="175"/>
      <c r="B53" s="20"/>
      <c r="C53" s="177"/>
      <c r="D53" s="20"/>
      <c r="E53" s="20"/>
      <c r="F53" s="20"/>
      <c r="G53" s="20"/>
      <c r="H53" s="393" t="s">
        <v>803</v>
      </c>
      <c r="I53" s="369"/>
      <c r="J53" s="176" t="s">
        <v>915</v>
      </c>
      <c r="K53" s="49" t="s">
        <v>246</v>
      </c>
      <c r="L53" s="50">
        <f>F22*0.1</f>
        <v>110</v>
      </c>
    </row>
    <row r="54" spans="1:12" ht="16.5" thickBot="1" x14ac:dyDescent="0.3">
      <c r="A54" s="178"/>
      <c r="B54" s="20"/>
      <c r="C54" s="177"/>
      <c r="D54" s="20"/>
      <c r="E54" s="20"/>
      <c r="F54" s="20"/>
      <c r="G54" s="20"/>
      <c r="H54" s="393" t="s">
        <v>9</v>
      </c>
      <c r="I54" s="394"/>
      <c r="J54" s="124" t="s">
        <v>915</v>
      </c>
      <c r="K54" s="179" t="s">
        <v>32</v>
      </c>
      <c r="L54" s="292" t="s">
        <v>915</v>
      </c>
    </row>
    <row r="55" spans="1:12" x14ac:dyDescent="0.25">
      <c r="A55" s="67" t="s">
        <v>571</v>
      </c>
      <c r="B55" s="346"/>
      <c r="C55" s="347"/>
      <c r="D55" s="347"/>
      <c r="E55" s="347"/>
      <c r="F55" s="347"/>
      <c r="G55" s="348"/>
      <c r="H55" s="393" t="s">
        <v>136</v>
      </c>
      <c r="I55" s="368"/>
      <c r="J55" s="180" t="s">
        <v>915</v>
      </c>
      <c r="K55" s="73" t="s">
        <v>113</v>
      </c>
      <c r="L55" s="73" t="s">
        <v>905</v>
      </c>
    </row>
    <row r="56" spans="1:12" x14ac:dyDescent="0.25">
      <c r="A56" s="181"/>
      <c r="B56" s="40"/>
      <c r="C56" s="40"/>
      <c r="D56" s="40"/>
      <c r="E56" s="40"/>
      <c r="F56" s="40"/>
      <c r="G56" s="40"/>
      <c r="H56" s="181"/>
      <c r="I56" s="181"/>
      <c r="J56" s="49" t="s">
        <v>142</v>
      </c>
      <c r="K56" s="56"/>
      <c r="L56" s="56"/>
    </row>
    <row r="57" spans="1:12" x14ac:dyDescent="0.25">
      <c r="A57" s="47"/>
      <c r="B57" s="47"/>
      <c r="C57" s="47"/>
      <c r="D57" s="47"/>
      <c r="E57" s="47"/>
      <c r="F57" s="47"/>
      <c r="G57" s="47"/>
      <c r="H57" s="368" t="s">
        <v>186</v>
      </c>
      <c r="I57" s="369"/>
      <c r="J57" s="435" t="s">
        <v>916</v>
      </c>
      <c r="K57" s="436"/>
      <c r="L57" s="437"/>
    </row>
    <row r="58" spans="1:12" x14ac:dyDescent="0.25">
      <c r="A58" s="365"/>
      <c r="B58" s="365"/>
      <c r="C58" s="365"/>
      <c r="D58" s="365"/>
      <c r="E58" s="365"/>
      <c r="F58" s="365"/>
      <c r="G58" s="365"/>
      <c r="H58" s="365"/>
      <c r="I58" s="365"/>
      <c r="J58" s="365"/>
      <c r="K58" s="365"/>
      <c r="L58" s="365"/>
    </row>
    <row r="59" spans="1:12" x14ac:dyDescent="0.2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</row>
    <row r="60" spans="1:12" x14ac:dyDescent="0.25">
      <c r="A60" s="182"/>
      <c r="B60" s="299" t="s">
        <v>273</v>
      </c>
      <c r="C60" s="404"/>
      <c r="D60" s="76"/>
      <c r="E60" s="299" t="s">
        <v>277</v>
      </c>
      <c r="F60" s="301"/>
      <c r="G60" s="81"/>
      <c r="H60" s="47"/>
      <c r="I60" s="42" t="s">
        <v>490</v>
      </c>
      <c r="J60" s="42" t="s">
        <v>892</v>
      </c>
      <c r="K60" s="42" t="s">
        <v>893</v>
      </c>
      <c r="L60" s="42" t="s">
        <v>794</v>
      </c>
    </row>
    <row r="61" spans="1:12" x14ac:dyDescent="0.25">
      <c r="A61" s="1" t="s">
        <v>821</v>
      </c>
      <c r="B61" s="315" t="s">
        <v>734</v>
      </c>
      <c r="C61" s="374"/>
      <c r="D61" s="1" t="s">
        <v>821</v>
      </c>
      <c r="E61" s="336"/>
      <c r="F61" s="375"/>
      <c r="G61" s="101"/>
      <c r="H61" s="60" t="s">
        <v>821</v>
      </c>
      <c r="I61" s="51"/>
      <c r="J61" s="56"/>
      <c r="K61" s="56"/>
      <c r="L61" s="56"/>
    </row>
    <row r="62" spans="1:12" x14ac:dyDescent="0.25">
      <c r="A62" s="1" t="s">
        <v>811</v>
      </c>
      <c r="B62" s="336" t="s">
        <v>915</v>
      </c>
      <c r="C62" s="375"/>
      <c r="D62" s="1" t="s">
        <v>811</v>
      </c>
      <c r="E62" s="336"/>
      <c r="F62" s="375"/>
      <c r="G62" s="101"/>
      <c r="H62" s="60" t="s">
        <v>489</v>
      </c>
      <c r="I62" s="125"/>
      <c r="J62" s="183"/>
      <c r="K62" s="183"/>
      <c r="L62" s="183"/>
    </row>
    <row r="63" spans="1:12" x14ac:dyDescent="0.25">
      <c r="A63" s="1" t="s">
        <v>812</v>
      </c>
      <c r="B63" s="315" t="s">
        <v>635</v>
      </c>
      <c r="C63" s="374"/>
      <c r="D63" s="1" t="s">
        <v>812</v>
      </c>
      <c r="E63" s="336"/>
      <c r="F63" s="375"/>
      <c r="G63" s="101"/>
      <c r="H63" s="60" t="s">
        <v>826</v>
      </c>
      <c r="I63" s="184"/>
      <c r="J63" s="56"/>
      <c r="K63" s="56"/>
      <c r="L63" s="56"/>
    </row>
    <row r="64" spans="1:12" x14ac:dyDescent="0.25">
      <c r="A64" s="1" t="s">
        <v>813</v>
      </c>
      <c r="B64" s="315" t="s">
        <v>693</v>
      </c>
      <c r="C64" s="374"/>
      <c r="D64" s="1" t="s">
        <v>813</v>
      </c>
      <c r="E64" s="336"/>
      <c r="F64" s="375"/>
      <c r="G64" s="101"/>
      <c r="H64" s="48"/>
      <c r="I64" s="185"/>
      <c r="J64" s="185"/>
      <c r="K64" s="185"/>
      <c r="L64" s="47"/>
    </row>
    <row r="65" spans="1:12" x14ac:dyDescent="0.25">
      <c r="A65" s="1" t="s">
        <v>814</v>
      </c>
      <c r="B65" s="336" t="s">
        <v>922</v>
      </c>
      <c r="C65" s="375"/>
      <c r="D65" s="1" t="s">
        <v>814</v>
      </c>
      <c r="E65" s="336"/>
      <c r="F65" s="375"/>
      <c r="G65" s="101"/>
      <c r="H65" s="44"/>
      <c r="I65" s="359" t="s">
        <v>493</v>
      </c>
      <c r="J65" s="366"/>
      <c r="K65" s="366"/>
      <c r="L65" s="367"/>
    </row>
    <row r="66" spans="1:12" x14ac:dyDescent="0.25">
      <c r="A66" s="1" t="s">
        <v>815</v>
      </c>
      <c r="B66" s="336" t="s">
        <v>923</v>
      </c>
      <c r="C66" s="375"/>
      <c r="D66" s="1" t="s">
        <v>815</v>
      </c>
      <c r="E66" s="336"/>
      <c r="F66" s="375"/>
      <c r="G66" s="101"/>
      <c r="H66" s="40"/>
      <c r="I66" s="408"/>
      <c r="J66" s="409"/>
      <c r="K66" s="409"/>
      <c r="L66" s="410"/>
    </row>
    <row r="67" spans="1:12" x14ac:dyDescent="0.25">
      <c r="A67" s="1" t="s">
        <v>816</v>
      </c>
      <c r="B67" s="315">
        <v>1974</v>
      </c>
      <c r="C67" s="374"/>
      <c r="D67" s="1" t="s">
        <v>816</v>
      </c>
      <c r="E67" s="336"/>
      <c r="F67" s="375"/>
      <c r="G67" s="101"/>
      <c r="H67" s="40"/>
      <c r="I67" s="405"/>
      <c r="J67" s="406"/>
      <c r="K67" s="406"/>
      <c r="L67" s="407"/>
    </row>
    <row r="68" spans="1:12" x14ac:dyDescent="0.25">
      <c r="A68" s="1" t="s">
        <v>725</v>
      </c>
      <c r="B68" s="315" t="s">
        <v>731</v>
      </c>
      <c r="C68" s="374"/>
      <c r="D68" s="1" t="s">
        <v>725</v>
      </c>
      <c r="E68" s="336"/>
      <c r="F68" s="375"/>
      <c r="G68" s="101"/>
      <c r="H68" s="1"/>
      <c r="I68" s="411"/>
      <c r="J68" s="412"/>
      <c r="K68" s="412"/>
      <c r="L68" s="413"/>
    </row>
    <row r="69" spans="1:12" x14ac:dyDescent="0.25">
      <c r="A69" s="1" t="s">
        <v>817</v>
      </c>
      <c r="B69" s="428" t="s">
        <v>915</v>
      </c>
      <c r="C69" s="374"/>
      <c r="D69" s="1" t="s">
        <v>817</v>
      </c>
      <c r="E69" s="376"/>
      <c r="F69" s="375"/>
      <c r="G69" s="101"/>
      <c r="H69" s="44"/>
      <c r="I69" s="377"/>
      <c r="J69" s="377"/>
      <c r="K69" s="377"/>
      <c r="L69" s="377"/>
    </row>
    <row r="70" spans="1:12" x14ac:dyDescent="0.25">
      <c r="A70" s="1" t="s">
        <v>818</v>
      </c>
      <c r="B70" s="376"/>
      <c r="C70" s="375"/>
      <c r="D70" s="1" t="s">
        <v>818</v>
      </c>
      <c r="E70" s="376"/>
      <c r="F70" s="375"/>
      <c r="G70" s="101"/>
      <c r="H70" s="44"/>
      <c r="I70" s="359" t="s">
        <v>492</v>
      </c>
      <c r="J70" s="366"/>
      <c r="K70" s="366"/>
      <c r="L70" s="367"/>
    </row>
    <row r="71" spans="1:12" x14ac:dyDescent="0.25">
      <c r="A71" s="1" t="s">
        <v>819</v>
      </c>
      <c r="B71" s="315"/>
      <c r="C71" s="374"/>
      <c r="D71" s="1" t="s">
        <v>819</v>
      </c>
      <c r="E71" s="336"/>
      <c r="F71" s="375"/>
      <c r="G71" s="101"/>
      <c r="H71" s="60"/>
      <c r="I71" s="408"/>
      <c r="J71" s="409"/>
      <c r="K71" s="409"/>
      <c r="L71" s="410"/>
    </row>
    <row r="72" spans="1:12" x14ac:dyDescent="0.25">
      <c r="A72" s="1" t="s">
        <v>573</v>
      </c>
      <c r="B72" s="315" t="s">
        <v>423</v>
      </c>
      <c r="C72" s="317"/>
      <c r="D72" s="1" t="s">
        <v>573</v>
      </c>
      <c r="E72" s="336"/>
      <c r="F72" s="338"/>
      <c r="G72" s="101"/>
      <c r="H72" s="1"/>
      <c r="I72" s="405"/>
      <c r="J72" s="406"/>
      <c r="K72" s="406"/>
      <c r="L72" s="407"/>
    </row>
    <row r="73" spans="1:12" x14ac:dyDescent="0.25">
      <c r="A73" s="1" t="s">
        <v>571</v>
      </c>
      <c r="B73" s="336"/>
      <c r="C73" s="375"/>
      <c r="D73" s="1" t="s">
        <v>571</v>
      </c>
      <c r="E73" s="336"/>
      <c r="F73" s="375"/>
      <c r="G73" s="101"/>
      <c r="H73" s="1"/>
      <c r="I73" s="411"/>
      <c r="J73" s="412"/>
      <c r="K73" s="412"/>
      <c r="L73" s="413"/>
    </row>
    <row r="74" spans="1:12" x14ac:dyDescent="0.25">
      <c r="A74" s="40" t="s">
        <v>276</v>
      </c>
      <c r="B74" s="378"/>
      <c r="C74" s="379"/>
      <c r="D74" s="40" t="s">
        <v>276</v>
      </c>
      <c r="E74" s="380"/>
      <c r="F74" s="381"/>
      <c r="G74" s="48"/>
      <c r="H74" s="40"/>
      <c r="I74" s="186"/>
      <c r="J74" s="186"/>
      <c r="K74" s="186"/>
      <c r="L74" s="186"/>
    </row>
    <row r="75" spans="1:12" x14ac:dyDescent="0.25">
      <c r="A75" s="40" t="s">
        <v>275</v>
      </c>
      <c r="B75" s="378"/>
      <c r="C75" s="379"/>
      <c r="D75" s="40" t="s">
        <v>275</v>
      </c>
      <c r="E75" s="380"/>
      <c r="F75" s="381"/>
      <c r="G75" s="48"/>
      <c r="H75" s="40"/>
      <c r="I75" s="40"/>
      <c r="J75" s="40"/>
      <c r="K75" s="40"/>
      <c r="L75" s="47"/>
    </row>
    <row r="76" spans="1:12" x14ac:dyDescent="0.25">
      <c r="A76" s="40"/>
      <c r="B76" s="48"/>
      <c r="C76" s="98"/>
      <c r="D76" s="40"/>
      <c r="E76" s="48"/>
      <c r="F76" s="98"/>
      <c r="G76" s="48"/>
      <c r="H76" s="40"/>
      <c r="I76" s="40"/>
      <c r="J76" s="40"/>
      <c r="K76" s="40"/>
      <c r="L76" s="47"/>
    </row>
    <row r="77" spans="1:12" ht="20.25" x14ac:dyDescent="0.3">
      <c r="A77" s="335" t="s">
        <v>680</v>
      </c>
      <c r="B77" s="335"/>
      <c r="C77" s="335"/>
      <c r="D77" s="335"/>
      <c r="E77" s="335"/>
      <c r="F77" s="335"/>
      <c r="G77" s="335"/>
      <c r="H77" s="335"/>
      <c r="I77" s="335"/>
      <c r="J77" s="335"/>
      <c r="K77" s="335"/>
      <c r="L77" s="335"/>
    </row>
    <row r="78" spans="1:12" x14ac:dyDescent="0.2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</row>
    <row r="79" spans="1:12" x14ac:dyDescent="0.25">
      <c r="A79" s="60"/>
      <c r="B79" s="299" t="s">
        <v>274</v>
      </c>
      <c r="C79" s="301"/>
      <c r="D79" s="187"/>
      <c r="E79" s="299" t="s">
        <v>278</v>
      </c>
      <c r="F79" s="301"/>
      <c r="G79" s="76"/>
      <c r="H79" s="9"/>
      <c r="I79" s="359" t="s">
        <v>494</v>
      </c>
      <c r="J79" s="366"/>
      <c r="K79" s="366"/>
      <c r="L79" s="367"/>
    </row>
    <row r="80" spans="1:12" x14ac:dyDescent="0.25">
      <c r="A80" s="1" t="s">
        <v>821</v>
      </c>
      <c r="B80" s="315" t="s">
        <v>734</v>
      </c>
      <c r="C80" s="317"/>
      <c r="D80" s="188" t="s">
        <v>821</v>
      </c>
      <c r="E80" s="336"/>
      <c r="F80" s="338"/>
      <c r="G80" s="81"/>
      <c r="H80" s="160"/>
      <c r="I80" s="441" t="s">
        <v>915</v>
      </c>
      <c r="J80" s="442"/>
      <c r="K80" s="442"/>
      <c r="L80" s="443"/>
    </row>
    <row r="81" spans="1:17" x14ac:dyDescent="0.25">
      <c r="A81" s="1" t="s">
        <v>812</v>
      </c>
      <c r="B81" s="315" t="s">
        <v>673</v>
      </c>
      <c r="C81" s="317"/>
      <c r="D81" s="188" t="s">
        <v>812</v>
      </c>
      <c r="E81" s="336"/>
      <c r="F81" s="338"/>
      <c r="G81" s="81"/>
      <c r="H81" s="160"/>
      <c r="I81" s="370" t="s">
        <v>915</v>
      </c>
      <c r="J81" s="371"/>
      <c r="K81" s="371"/>
      <c r="L81" s="372"/>
    </row>
    <row r="82" spans="1:17" x14ac:dyDescent="0.25">
      <c r="A82" s="1" t="s">
        <v>811</v>
      </c>
      <c r="B82" s="426" t="s">
        <v>915</v>
      </c>
      <c r="C82" s="427"/>
      <c r="D82" s="188" t="s">
        <v>811</v>
      </c>
      <c r="E82" s="336"/>
      <c r="F82" s="338"/>
      <c r="G82" s="81"/>
      <c r="H82" s="160"/>
      <c r="I82" s="370"/>
      <c r="J82" s="371"/>
      <c r="K82" s="371"/>
      <c r="L82" s="372"/>
    </row>
    <row r="83" spans="1:17" x14ac:dyDescent="0.25">
      <c r="A83" s="1" t="s">
        <v>823</v>
      </c>
      <c r="B83" s="315" t="s">
        <v>693</v>
      </c>
      <c r="C83" s="317"/>
      <c r="D83" s="188" t="s">
        <v>823</v>
      </c>
      <c r="E83" s="336"/>
      <c r="F83" s="338"/>
      <c r="G83" s="81"/>
      <c r="H83" s="160"/>
      <c r="I83" s="370"/>
      <c r="J83" s="371"/>
      <c r="K83" s="371"/>
      <c r="L83" s="372"/>
    </row>
    <row r="84" spans="1:17" x14ac:dyDescent="0.25">
      <c r="A84" s="1" t="s">
        <v>816</v>
      </c>
      <c r="B84" s="315">
        <v>2006</v>
      </c>
      <c r="C84" s="317"/>
      <c r="D84" s="188" t="s">
        <v>816</v>
      </c>
      <c r="E84" s="336"/>
      <c r="F84" s="338"/>
      <c r="G84" s="81"/>
      <c r="H84" s="160"/>
      <c r="I84" s="405"/>
      <c r="J84" s="406"/>
      <c r="K84" s="406"/>
      <c r="L84" s="407"/>
    </row>
    <row r="85" spans="1:17" x14ac:dyDescent="0.25">
      <c r="A85" s="1" t="s">
        <v>725</v>
      </c>
      <c r="B85" s="315" t="s">
        <v>730</v>
      </c>
      <c r="C85" s="317"/>
      <c r="D85" s="188" t="s">
        <v>725</v>
      </c>
      <c r="E85" s="336"/>
      <c r="F85" s="338"/>
      <c r="G85" s="81"/>
      <c r="H85" s="160"/>
      <c r="I85" s="370"/>
      <c r="J85" s="371"/>
      <c r="K85" s="371"/>
      <c r="L85" s="372"/>
    </row>
    <row r="86" spans="1:17" x14ac:dyDescent="0.25">
      <c r="A86" s="1" t="s">
        <v>814</v>
      </c>
      <c r="B86" s="336" t="s">
        <v>920</v>
      </c>
      <c r="C86" s="338"/>
      <c r="D86" s="188" t="s">
        <v>814</v>
      </c>
      <c r="E86" s="336"/>
      <c r="F86" s="338"/>
      <c r="G86" s="81"/>
      <c r="H86" s="44"/>
      <c r="I86" s="445"/>
      <c r="J86" s="446"/>
      <c r="K86" s="446"/>
      <c r="L86" s="447"/>
    </row>
    <row r="87" spans="1:17" x14ac:dyDescent="0.25">
      <c r="A87" s="1" t="s">
        <v>815</v>
      </c>
      <c r="B87" s="336" t="s">
        <v>921</v>
      </c>
      <c r="C87" s="338"/>
      <c r="D87" s="188" t="s">
        <v>815</v>
      </c>
      <c r="E87" s="336"/>
      <c r="F87" s="338"/>
      <c r="G87" s="81"/>
      <c r="H87" s="9"/>
      <c r="I87" s="444"/>
      <c r="J87" s="444"/>
      <c r="K87" s="444"/>
      <c r="L87" s="444"/>
    </row>
    <row r="88" spans="1:17" x14ac:dyDescent="0.25">
      <c r="A88" s="1" t="s">
        <v>822</v>
      </c>
      <c r="B88" s="315">
        <v>50</v>
      </c>
      <c r="C88" s="317"/>
      <c r="D88" s="188" t="s">
        <v>822</v>
      </c>
      <c r="E88" s="336"/>
      <c r="F88" s="338"/>
      <c r="G88" s="81"/>
      <c r="H88" s="160"/>
      <c r="I88" s="359" t="s">
        <v>495</v>
      </c>
      <c r="J88" s="366"/>
      <c r="K88" s="366"/>
      <c r="L88" s="367"/>
    </row>
    <row r="89" spans="1:17" x14ac:dyDescent="0.25">
      <c r="A89" s="1" t="s">
        <v>817</v>
      </c>
      <c r="B89" s="428"/>
      <c r="C89" s="317"/>
      <c r="D89" s="188" t="s">
        <v>817</v>
      </c>
      <c r="E89" s="376"/>
      <c r="F89" s="338"/>
      <c r="G89" s="81"/>
      <c r="H89" s="160"/>
      <c r="I89" s="438"/>
      <c r="J89" s="439"/>
      <c r="K89" s="439"/>
      <c r="L89" s="440"/>
    </row>
    <row r="90" spans="1:17" x14ac:dyDescent="0.25">
      <c r="A90" s="1" t="s">
        <v>828</v>
      </c>
      <c r="B90" s="315"/>
      <c r="C90" s="317"/>
      <c r="D90" s="188" t="s">
        <v>828</v>
      </c>
      <c r="E90" s="336"/>
      <c r="F90" s="338"/>
      <c r="G90" s="81"/>
      <c r="H90" s="160"/>
      <c r="I90" s="370"/>
      <c r="J90" s="371"/>
      <c r="K90" s="371"/>
      <c r="L90" s="372"/>
    </row>
    <row r="91" spans="1:17" x14ac:dyDescent="0.25">
      <c r="A91" s="1" t="s">
        <v>573</v>
      </c>
      <c r="B91" s="315" t="s">
        <v>423</v>
      </c>
      <c r="C91" s="317"/>
      <c r="D91" s="1" t="s">
        <v>573</v>
      </c>
      <c r="E91" s="336"/>
      <c r="F91" s="338"/>
      <c r="G91" s="81"/>
      <c r="H91" s="160"/>
      <c r="I91" s="370"/>
      <c r="J91" s="371"/>
      <c r="K91" s="371"/>
      <c r="L91" s="372"/>
    </row>
    <row r="92" spans="1:17" x14ac:dyDescent="0.25">
      <c r="A92" s="1" t="s">
        <v>829</v>
      </c>
      <c r="B92" s="336"/>
      <c r="C92" s="338"/>
      <c r="D92" s="188" t="s">
        <v>829</v>
      </c>
      <c r="E92" s="336"/>
      <c r="F92" s="338"/>
      <c r="G92" s="76"/>
      <c r="H92" s="160"/>
      <c r="I92" s="452"/>
      <c r="J92" s="453"/>
      <c r="K92" s="453"/>
      <c r="L92" s="454"/>
    </row>
    <row r="93" spans="1:17" x14ac:dyDescent="0.25">
      <c r="A93" s="40" t="s">
        <v>297</v>
      </c>
      <c r="B93" s="336"/>
      <c r="C93" s="338"/>
      <c r="D93" s="40" t="s">
        <v>297</v>
      </c>
      <c r="E93" s="336"/>
      <c r="F93" s="338"/>
      <c r="G93" s="44"/>
      <c r="H93" s="160"/>
      <c r="I93" s="189"/>
      <c r="J93" s="189"/>
      <c r="K93" s="189"/>
      <c r="L93" s="189"/>
    </row>
    <row r="94" spans="1:17" x14ac:dyDescent="0.25">
      <c r="A94" s="40"/>
      <c r="B94" s="304"/>
      <c r="C94" s="304"/>
      <c r="D94" s="40"/>
      <c r="E94" s="304"/>
      <c r="F94" s="304"/>
    </row>
    <row r="95" spans="1:17" x14ac:dyDescent="0.25">
      <c r="A95" s="160"/>
      <c r="B95" s="160"/>
      <c r="C95" s="160"/>
      <c r="D95" s="160"/>
      <c r="E95" s="190"/>
      <c r="F95" s="190"/>
      <c r="G95" s="190"/>
      <c r="H95" s="190"/>
      <c r="I95" s="190"/>
      <c r="J95" s="113"/>
      <c r="K95" s="190"/>
      <c r="L95" s="190"/>
      <c r="M95" s="98"/>
      <c r="N95" s="98"/>
      <c r="O95" s="98"/>
      <c r="P95" s="98"/>
      <c r="Q95" s="98"/>
    </row>
    <row r="96" spans="1:17" x14ac:dyDescent="0.25">
      <c r="A96" s="160"/>
      <c r="B96" s="160"/>
      <c r="C96" s="160"/>
      <c r="D96" s="160"/>
      <c r="E96" s="190"/>
      <c r="F96" s="190"/>
      <c r="G96" s="190"/>
      <c r="H96" s="190"/>
      <c r="I96" s="190"/>
      <c r="J96" s="113"/>
      <c r="K96" s="190"/>
      <c r="L96" s="190"/>
      <c r="M96" s="98"/>
      <c r="N96" s="98"/>
      <c r="O96" s="98"/>
      <c r="P96" s="98"/>
      <c r="Q96" s="98"/>
    </row>
    <row r="97" spans="1:19" x14ac:dyDescent="0.25">
      <c r="A97" s="160"/>
      <c r="B97" s="160"/>
      <c r="C97" s="160"/>
      <c r="D97" s="160"/>
      <c r="E97" s="160"/>
      <c r="F97" s="160"/>
      <c r="G97" s="160"/>
      <c r="H97" s="160"/>
      <c r="I97" s="160"/>
      <c r="J97" s="160"/>
      <c r="K97" s="160"/>
      <c r="L97" s="160"/>
      <c r="M97" s="98"/>
      <c r="N97" s="98"/>
      <c r="O97" s="98"/>
      <c r="P97" s="98"/>
      <c r="Q97" s="98"/>
    </row>
    <row r="98" spans="1:19" ht="20.25" x14ac:dyDescent="0.3">
      <c r="A98" s="400" t="s">
        <v>553</v>
      </c>
      <c r="B98" s="400"/>
      <c r="C98" s="400"/>
      <c r="D98" s="400"/>
      <c r="E98" s="400"/>
      <c r="F98" s="400"/>
      <c r="G98" s="400"/>
      <c r="H98" s="400"/>
      <c r="I98" s="400"/>
      <c r="J98" s="400"/>
      <c r="K98" s="400"/>
      <c r="L98" s="400"/>
      <c r="M98" s="98"/>
      <c r="N98" s="98"/>
      <c r="O98" s="98"/>
      <c r="P98" s="98"/>
      <c r="Q98" s="98"/>
    </row>
    <row r="99" spans="1:19" x14ac:dyDescent="0.25">
      <c r="A99" s="47"/>
      <c r="B99" s="47"/>
      <c r="C99" s="47"/>
      <c r="D99" s="47"/>
      <c r="E99" s="47"/>
      <c r="F99" s="47"/>
      <c r="G99" s="47"/>
      <c r="H99" s="47"/>
      <c r="I99" s="47"/>
      <c r="J99" s="47"/>
      <c r="K99" s="47"/>
      <c r="L99" s="47"/>
      <c r="M99" s="98"/>
      <c r="N99" s="98"/>
      <c r="O99" s="98"/>
      <c r="P99" s="98"/>
      <c r="Q99" s="98"/>
    </row>
    <row r="100" spans="1:19" ht="12.75" customHeight="1" x14ac:dyDescent="0.25">
      <c r="A100" s="43"/>
      <c r="B100" s="191" t="s">
        <v>527</v>
      </c>
      <c r="C100" s="191" t="s">
        <v>574</v>
      </c>
      <c r="D100" s="99"/>
      <c r="E100" s="47"/>
      <c r="F100" s="47"/>
      <c r="G100" s="359" t="s">
        <v>894</v>
      </c>
      <c r="H100" s="366"/>
      <c r="I100" s="366"/>
      <c r="J100" s="366"/>
      <c r="K100" s="366"/>
      <c r="L100" s="367"/>
      <c r="M100" s="98"/>
      <c r="N100" s="98"/>
      <c r="O100" s="98"/>
      <c r="P100" s="98"/>
      <c r="Q100" s="98"/>
    </row>
    <row r="101" spans="1:19" x14ac:dyDescent="0.25">
      <c r="A101" s="43"/>
      <c r="B101" s="192"/>
      <c r="C101" s="193"/>
      <c r="D101" s="99"/>
      <c r="E101" s="47"/>
      <c r="F101" s="47"/>
      <c r="G101" s="318" t="s">
        <v>895</v>
      </c>
      <c r="H101" s="318"/>
      <c r="I101" s="318"/>
      <c r="J101" s="318"/>
      <c r="K101" s="318"/>
      <c r="L101" s="49">
        <v>-2</v>
      </c>
      <c r="M101" s="98"/>
      <c r="N101" s="98"/>
      <c r="O101" s="98"/>
      <c r="P101" s="98"/>
      <c r="Q101" s="98"/>
      <c r="R101" s="98"/>
      <c r="S101" s="98"/>
    </row>
    <row r="102" spans="1:19" x14ac:dyDescent="0.25">
      <c r="A102" s="48"/>
      <c r="B102" s="50" t="s">
        <v>480</v>
      </c>
      <c r="C102" s="194" t="s">
        <v>532</v>
      </c>
      <c r="D102" s="195"/>
      <c r="E102" s="47"/>
      <c r="F102" s="47"/>
      <c r="G102" s="318" t="s">
        <v>897</v>
      </c>
      <c r="H102" s="318"/>
      <c r="I102" s="318"/>
      <c r="J102" s="318"/>
      <c r="K102" s="318"/>
      <c r="L102" s="49">
        <v>-3</v>
      </c>
      <c r="M102" s="98"/>
      <c r="N102" s="98"/>
      <c r="O102" s="98"/>
      <c r="P102" s="98"/>
      <c r="Q102" s="98"/>
      <c r="R102" s="98"/>
    </row>
    <row r="103" spans="1:19" x14ac:dyDescent="0.25">
      <c r="A103" s="48"/>
      <c r="B103" s="51">
        <f>I7</f>
        <v>0</v>
      </c>
      <c r="C103" s="85" t="str">
        <f>IF(B103=0," ",(B103/40)-2.75)</f>
        <v xml:space="preserve"> </v>
      </c>
      <c r="D103" s="104"/>
      <c r="E103" s="47"/>
      <c r="F103" s="47"/>
      <c r="G103" s="318" t="s">
        <v>896</v>
      </c>
      <c r="H103" s="318"/>
      <c r="I103" s="318"/>
      <c r="J103" s="318"/>
      <c r="K103" s="318"/>
      <c r="L103" s="49">
        <v>-5</v>
      </c>
      <c r="M103" s="98"/>
      <c r="N103" s="98"/>
      <c r="O103" s="98"/>
      <c r="P103" s="98"/>
      <c r="Q103" s="98"/>
      <c r="R103" s="98"/>
    </row>
    <row r="104" spans="1:19" x14ac:dyDescent="0.25">
      <c r="A104" s="48"/>
      <c r="B104" s="50" t="s">
        <v>481</v>
      </c>
      <c r="C104" s="50">
        <v>0.5</v>
      </c>
      <c r="D104" s="101"/>
      <c r="E104" s="47"/>
      <c r="F104" s="47"/>
      <c r="G104" s="318" t="s">
        <v>898</v>
      </c>
      <c r="H104" s="318"/>
      <c r="I104" s="318"/>
      <c r="J104" s="318"/>
      <c r="K104" s="318"/>
      <c r="L104" s="49">
        <v>-5</v>
      </c>
      <c r="M104" s="98"/>
      <c r="N104" s="98"/>
      <c r="O104" s="98"/>
      <c r="P104" s="98"/>
      <c r="Q104" s="98"/>
      <c r="R104" s="98"/>
    </row>
    <row r="105" spans="1:19" x14ac:dyDescent="0.25">
      <c r="A105" s="48"/>
      <c r="B105" s="48"/>
      <c r="C105" s="48"/>
      <c r="D105" s="48"/>
      <c r="E105" s="47"/>
      <c r="F105" s="47"/>
      <c r="G105" s="318" t="s">
        <v>901</v>
      </c>
      <c r="H105" s="318"/>
      <c r="I105" s="318"/>
      <c r="J105" s="318"/>
      <c r="K105" s="318"/>
      <c r="L105" s="49">
        <v>-5</v>
      </c>
      <c r="M105" s="98"/>
      <c r="N105" s="98"/>
      <c r="O105" s="98"/>
      <c r="P105" s="98"/>
      <c r="Q105" s="98"/>
      <c r="R105" s="98"/>
    </row>
    <row r="106" spans="1:19" x14ac:dyDescent="0.25">
      <c r="A106" s="48"/>
      <c r="B106" s="48"/>
      <c r="C106" s="48"/>
      <c r="D106" s="48"/>
      <c r="E106" s="47"/>
      <c r="F106" s="47"/>
      <c r="G106" s="318" t="s">
        <v>899</v>
      </c>
      <c r="H106" s="318"/>
      <c r="I106" s="318"/>
      <c r="J106" s="318"/>
      <c r="K106" s="318"/>
      <c r="L106" s="49">
        <v>-15</v>
      </c>
      <c r="M106" s="98"/>
      <c r="N106" s="98"/>
      <c r="O106" s="98"/>
      <c r="P106" s="98"/>
      <c r="Q106" s="98"/>
      <c r="R106" s="98"/>
    </row>
    <row r="107" spans="1:19" x14ac:dyDescent="0.25">
      <c r="A107" s="295" t="s">
        <v>889</v>
      </c>
      <c r="B107" s="295"/>
      <c r="C107" s="277" t="s">
        <v>724</v>
      </c>
      <c r="D107" s="48"/>
      <c r="E107" s="47"/>
      <c r="F107" s="47"/>
      <c r="G107" s="318" t="s">
        <v>483</v>
      </c>
      <c r="H107" s="318"/>
      <c r="I107" s="318"/>
      <c r="J107" s="318"/>
      <c r="K107" s="318"/>
      <c r="L107" s="49">
        <v>-50</v>
      </c>
      <c r="M107" s="98"/>
      <c r="N107" s="98"/>
      <c r="O107" s="98"/>
      <c r="P107" s="98"/>
      <c r="Q107" s="98"/>
      <c r="R107" s="98"/>
    </row>
    <row r="108" spans="1:19" x14ac:dyDescent="0.25">
      <c r="A108" s="48"/>
      <c r="B108" s="48"/>
      <c r="C108" s="48"/>
      <c r="D108" s="48"/>
      <c r="E108" s="47"/>
      <c r="F108" s="47"/>
      <c r="G108" s="318" t="s">
        <v>900</v>
      </c>
      <c r="H108" s="318"/>
      <c r="I108" s="318"/>
      <c r="J108" s="318"/>
      <c r="K108" s="318"/>
      <c r="L108" s="49">
        <v>-50</v>
      </c>
      <c r="M108" s="98"/>
      <c r="N108" s="98"/>
      <c r="O108" s="98"/>
      <c r="P108" s="98"/>
      <c r="Q108" s="98"/>
      <c r="R108" s="98"/>
    </row>
    <row r="109" spans="1:19" ht="12" customHeight="1" x14ac:dyDescent="0.25">
      <c r="A109" s="312" t="s">
        <v>604</v>
      </c>
      <c r="B109" s="312"/>
      <c r="C109" s="277" t="s">
        <v>565</v>
      </c>
      <c r="D109" s="48"/>
      <c r="E109" s="47"/>
      <c r="F109" s="47"/>
      <c r="G109" s="47"/>
      <c r="H109" s="47"/>
      <c r="I109" s="47"/>
      <c r="J109" s="47"/>
      <c r="K109" s="47"/>
      <c r="L109" s="47"/>
      <c r="M109" s="98"/>
      <c r="N109" s="98"/>
      <c r="O109" s="98"/>
      <c r="P109" s="98"/>
      <c r="Q109" s="98"/>
      <c r="R109" s="98"/>
      <c r="S109" s="98"/>
    </row>
    <row r="110" spans="1:19" x14ac:dyDescent="0.25">
      <c r="A110" s="44"/>
      <c r="B110" s="44"/>
      <c r="C110" s="48"/>
      <c r="D110" s="48"/>
      <c r="E110" s="275"/>
      <c r="F110" s="48"/>
      <c r="G110" s="48"/>
      <c r="H110" s="47"/>
      <c r="I110" s="47"/>
      <c r="J110" s="47"/>
      <c r="K110" s="47"/>
      <c r="L110" s="47"/>
      <c r="M110" s="98"/>
      <c r="N110" s="98"/>
      <c r="O110" s="98"/>
      <c r="P110" s="98"/>
      <c r="Q110" s="98"/>
      <c r="R110" s="98"/>
      <c r="S110" s="98"/>
    </row>
    <row r="111" spans="1:19" x14ac:dyDescent="0.25">
      <c r="A111" s="312" t="s">
        <v>760</v>
      </c>
      <c r="B111" s="312"/>
      <c r="C111" s="277" t="s">
        <v>658</v>
      </c>
      <c r="D111" s="48"/>
      <c r="E111" s="47"/>
      <c r="F111" s="47"/>
      <c r="G111" s="47"/>
      <c r="H111" s="47"/>
      <c r="I111" s="47"/>
      <c r="J111" s="47"/>
      <c r="K111" s="47"/>
      <c r="L111" s="47"/>
      <c r="M111" s="98"/>
      <c r="N111" s="98"/>
      <c r="O111" s="98"/>
      <c r="P111" s="98"/>
      <c r="Q111" s="98"/>
      <c r="R111" s="98"/>
      <c r="S111" s="98"/>
    </row>
    <row r="112" spans="1:19" x14ac:dyDescent="0.25">
      <c r="A112" s="312"/>
      <c r="B112" s="312"/>
      <c r="C112" s="304"/>
      <c r="D112" s="304"/>
      <c r="E112" s="44"/>
      <c r="F112" s="48"/>
      <c r="G112" s="48"/>
      <c r="H112" s="47"/>
      <c r="I112" s="47"/>
      <c r="J112" s="47"/>
      <c r="K112" s="47"/>
      <c r="L112" s="47"/>
      <c r="M112" s="48"/>
      <c r="N112" s="98"/>
      <c r="O112" s="98"/>
      <c r="P112" s="98"/>
      <c r="Q112" s="98"/>
      <c r="R112" s="98"/>
      <c r="S112" s="98"/>
    </row>
    <row r="113" spans="1:19" x14ac:dyDescent="0.25">
      <c r="A113" s="47"/>
      <c r="B113" s="47"/>
      <c r="C113" s="47"/>
      <c r="D113" s="47"/>
      <c r="E113" s="47"/>
      <c r="F113" s="47"/>
      <c r="G113" s="47"/>
      <c r="H113" s="47"/>
      <c r="I113" s="451" t="s">
        <v>533</v>
      </c>
      <c r="J113" s="451"/>
      <c r="K113" s="451"/>
      <c r="L113" s="451"/>
      <c r="M113" s="98"/>
      <c r="N113" s="98"/>
      <c r="O113" s="98"/>
      <c r="P113" s="98"/>
      <c r="Q113" s="98"/>
      <c r="R113" s="98"/>
      <c r="S113" s="98"/>
    </row>
    <row r="114" spans="1:19" ht="16.5" thickBot="1" x14ac:dyDescent="0.3">
      <c r="A114" s="60" t="s">
        <v>821</v>
      </c>
      <c r="B114" s="170" t="s">
        <v>602</v>
      </c>
      <c r="C114" s="170" t="s">
        <v>759</v>
      </c>
      <c r="D114" s="170" t="s">
        <v>882</v>
      </c>
      <c r="E114" s="196" t="s">
        <v>607</v>
      </c>
      <c r="F114" s="170" t="s">
        <v>603</v>
      </c>
      <c r="G114" s="170" t="s">
        <v>551</v>
      </c>
      <c r="H114" s="1"/>
      <c r="I114" s="42" t="s">
        <v>528</v>
      </c>
      <c r="J114" s="42" t="s">
        <v>882</v>
      </c>
      <c r="K114" s="42" t="s">
        <v>529</v>
      </c>
      <c r="L114" s="42" t="s">
        <v>882</v>
      </c>
      <c r="M114" s="98"/>
      <c r="N114" s="98"/>
      <c r="O114" s="98"/>
      <c r="P114" s="98"/>
      <c r="Q114" s="98"/>
      <c r="R114" s="98"/>
    </row>
    <row r="115" spans="1:19" ht="16.5" thickTop="1" x14ac:dyDescent="0.25">
      <c r="A115" s="60" t="s">
        <v>881</v>
      </c>
      <c r="B115" s="51">
        <v>0.1</v>
      </c>
      <c r="C115" s="51"/>
      <c r="D115" s="57"/>
      <c r="E115" s="197"/>
      <c r="F115" s="198">
        <v>0</v>
      </c>
      <c r="G115" s="51"/>
      <c r="H115" s="1" t="s">
        <v>881</v>
      </c>
      <c r="I115" s="58"/>
      <c r="J115" s="59" t="str">
        <f>IF(I115=0, " ", I115-B115)</f>
        <v xml:space="preserve"> </v>
      </c>
      <c r="K115" s="58"/>
      <c r="L115" s="56" t="str">
        <f>IF(K115=0, " ", K115-B115)</f>
        <v xml:space="preserve"> </v>
      </c>
    </row>
    <row r="116" spans="1:19" x14ac:dyDescent="0.25">
      <c r="A116" s="60" t="s">
        <v>605</v>
      </c>
      <c r="B116" s="51">
        <v>-0.7</v>
      </c>
      <c r="C116" s="51">
        <v>-0.9</v>
      </c>
      <c r="D116" s="57">
        <f>C116-B116</f>
        <v>-0.20000000000000007</v>
      </c>
      <c r="E116" s="199">
        <v>-2</v>
      </c>
      <c r="F116" s="198">
        <v>0</v>
      </c>
      <c r="G116" s="51" t="s">
        <v>695</v>
      </c>
      <c r="H116" s="1" t="s">
        <v>530</v>
      </c>
      <c r="I116" s="58"/>
      <c r="J116" s="59" t="str">
        <f>IF(I116=0, " ", I116-B116)</f>
        <v xml:space="preserve"> </v>
      </c>
      <c r="K116" s="56"/>
      <c r="L116" s="56" t="str">
        <f>IF(K116=0, " ", K116-B116)</f>
        <v xml:space="preserve"> </v>
      </c>
    </row>
    <row r="117" spans="1:19" ht="16.5" thickBot="1" x14ac:dyDescent="0.3">
      <c r="A117" s="60" t="s">
        <v>606</v>
      </c>
      <c r="B117" s="56"/>
      <c r="C117" s="56"/>
      <c r="D117" s="59">
        <f t="shared" ref="D117" si="0">C117-B117</f>
        <v>0</v>
      </c>
      <c r="E117" s="200"/>
      <c r="F117" s="201"/>
      <c r="G117" s="56"/>
      <c r="H117" s="60" t="s">
        <v>531</v>
      </c>
      <c r="I117" s="58"/>
      <c r="J117" s="59" t="str">
        <f>IF(I117=0, " ", I117-B117)</f>
        <v xml:space="preserve"> </v>
      </c>
      <c r="K117" s="56"/>
      <c r="L117" s="56" t="str">
        <f>IF(K117=0, " ", K117-B117)</f>
        <v xml:space="preserve"> </v>
      </c>
    </row>
    <row r="118" spans="1:19" ht="16.5" thickTop="1" x14ac:dyDescent="0.25">
      <c r="A118" s="48"/>
      <c r="B118" s="48"/>
      <c r="C118" s="48"/>
      <c r="D118" s="48"/>
      <c r="E118" s="47"/>
      <c r="F118" s="47"/>
      <c r="G118" s="47"/>
      <c r="H118" s="44"/>
      <c r="I118" s="44"/>
      <c r="J118" s="48"/>
      <c r="K118" s="48"/>
      <c r="L118" s="48"/>
    </row>
    <row r="119" spans="1:19" x14ac:dyDescent="0.25">
      <c r="A119" s="47"/>
      <c r="B119" s="47"/>
      <c r="C119" s="47"/>
      <c r="D119" s="47"/>
      <c r="E119" s="47"/>
      <c r="F119" s="47"/>
      <c r="G119" s="47"/>
      <c r="H119" s="47"/>
      <c r="I119" s="47"/>
      <c r="J119" s="47"/>
      <c r="K119" s="47"/>
      <c r="L119" s="47"/>
    </row>
    <row r="120" spans="1:19" x14ac:dyDescent="0.25">
      <c r="A120" s="1" t="s">
        <v>608</v>
      </c>
      <c r="B120" s="170" t="s">
        <v>821</v>
      </c>
      <c r="C120" s="170" t="s">
        <v>885</v>
      </c>
      <c r="D120" s="170" t="s">
        <v>886</v>
      </c>
      <c r="E120" s="170" t="s">
        <v>883</v>
      </c>
      <c r="F120" s="170" t="s">
        <v>684</v>
      </c>
      <c r="G120" s="170" t="s">
        <v>551</v>
      </c>
      <c r="H120" s="170" t="s">
        <v>820</v>
      </c>
      <c r="I120" s="170" t="s">
        <v>884</v>
      </c>
      <c r="J120" s="170" t="s">
        <v>609</v>
      </c>
      <c r="K120" s="170" t="s">
        <v>765</v>
      </c>
      <c r="L120" s="170" t="s">
        <v>890</v>
      </c>
      <c r="M120" s="107"/>
      <c r="N120" s="40"/>
    </row>
    <row r="121" spans="1:19" x14ac:dyDescent="0.25">
      <c r="A121" s="1" t="s">
        <v>611</v>
      </c>
      <c r="B121" s="51" t="s">
        <v>734</v>
      </c>
      <c r="C121" s="51" t="s">
        <v>695</v>
      </c>
      <c r="D121" s="51"/>
      <c r="E121" s="51">
        <v>-2</v>
      </c>
      <c r="F121" s="63">
        <v>2011</v>
      </c>
      <c r="G121" s="51" t="s">
        <v>695</v>
      </c>
      <c r="H121" s="64"/>
      <c r="I121" s="56"/>
      <c r="J121" s="56"/>
      <c r="K121" s="51" t="s">
        <v>585</v>
      </c>
      <c r="L121" s="65"/>
    </row>
    <row r="122" spans="1:19" x14ac:dyDescent="0.25">
      <c r="A122" s="1" t="s">
        <v>610</v>
      </c>
      <c r="B122" s="56"/>
      <c r="C122" s="56"/>
      <c r="D122" s="56"/>
      <c r="E122" s="56"/>
      <c r="F122" s="20"/>
      <c r="G122" s="56"/>
      <c r="H122" s="66"/>
      <c r="I122" s="56"/>
      <c r="J122" s="56"/>
      <c r="K122" s="56"/>
      <c r="L122" s="65"/>
    </row>
    <row r="123" spans="1:19" x14ac:dyDescent="0.25">
      <c r="A123" s="60" t="s">
        <v>824</v>
      </c>
      <c r="B123" s="51" t="s">
        <v>734</v>
      </c>
      <c r="C123" s="51" t="s">
        <v>695</v>
      </c>
      <c r="D123" s="51"/>
      <c r="E123" s="51">
        <v>-1.6</v>
      </c>
      <c r="F123" s="63">
        <v>24</v>
      </c>
      <c r="G123" s="51" t="s">
        <v>695</v>
      </c>
      <c r="H123" s="64"/>
      <c r="I123" s="56"/>
      <c r="J123" s="56"/>
      <c r="K123" s="51" t="s">
        <v>585</v>
      </c>
      <c r="L123" s="65"/>
    </row>
    <row r="124" spans="1:19" x14ac:dyDescent="0.25">
      <c r="A124" s="60" t="s">
        <v>825</v>
      </c>
      <c r="B124" s="56"/>
      <c r="C124" s="56"/>
      <c r="D124" s="56"/>
      <c r="E124" s="56"/>
      <c r="F124" s="20"/>
      <c r="G124" s="56"/>
      <c r="H124" s="66"/>
      <c r="I124" s="56"/>
      <c r="J124" s="56"/>
      <c r="K124" s="56"/>
      <c r="L124" s="65"/>
    </row>
    <row r="125" spans="1:19" x14ac:dyDescent="0.25">
      <c r="A125" s="60" t="s">
        <v>890</v>
      </c>
      <c r="B125" s="56"/>
      <c r="C125" s="56"/>
      <c r="D125" s="56"/>
      <c r="E125" s="56"/>
      <c r="F125" s="20"/>
      <c r="G125" s="56"/>
      <c r="H125" s="66"/>
      <c r="I125" s="56"/>
      <c r="J125" s="56"/>
      <c r="K125" s="56"/>
      <c r="L125" s="65"/>
    </row>
    <row r="126" spans="1:19" x14ac:dyDescent="0.25">
      <c r="A126" s="60" t="s">
        <v>890</v>
      </c>
      <c r="B126" s="56"/>
      <c r="C126" s="56"/>
      <c r="D126" s="56"/>
      <c r="E126" s="56"/>
      <c r="F126" s="20"/>
      <c r="G126" s="56"/>
      <c r="H126" s="66"/>
      <c r="I126" s="56"/>
      <c r="J126" s="56"/>
      <c r="K126" s="56"/>
      <c r="L126" s="65"/>
    </row>
    <row r="127" spans="1:19" x14ac:dyDescent="0.25">
      <c r="A127" s="48"/>
      <c r="B127" s="48"/>
      <c r="C127" s="48"/>
      <c r="D127" s="48"/>
      <c r="E127" s="48"/>
      <c r="F127" s="48"/>
      <c r="G127" s="48"/>
      <c r="H127" s="48"/>
      <c r="I127" s="48"/>
      <c r="J127" s="48"/>
      <c r="K127" s="48"/>
      <c r="L127" s="48"/>
    </row>
    <row r="128" spans="1:19" x14ac:dyDescent="0.25">
      <c r="A128" s="60"/>
      <c r="B128" s="170" t="s">
        <v>821</v>
      </c>
      <c r="C128" s="170" t="s">
        <v>813</v>
      </c>
      <c r="D128" s="170" t="s">
        <v>738</v>
      </c>
      <c r="E128" s="170" t="s">
        <v>614</v>
      </c>
      <c r="F128" s="202" t="s">
        <v>891</v>
      </c>
      <c r="G128" s="202" t="s">
        <v>551</v>
      </c>
      <c r="H128" s="47"/>
      <c r="I128" s="47"/>
      <c r="J128" s="42" t="s">
        <v>906</v>
      </c>
      <c r="K128" s="42" t="s">
        <v>905</v>
      </c>
      <c r="L128" s="42" t="s">
        <v>595</v>
      </c>
    </row>
    <row r="129" spans="1:12" x14ac:dyDescent="0.25">
      <c r="A129" s="60" t="s">
        <v>612</v>
      </c>
      <c r="B129" s="51"/>
      <c r="C129" s="51"/>
      <c r="D129" s="51"/>
      <c r="E129" s="51"/>
      <c r="F129" s="203"/>
      <c r="G129" s="51"/>
      <c r="H129" s="312" t="s">
        <v>761</v>
      </c>
      <c r="I129" s="449"/>
      <c r="J129" s="56"/>
      <c r="K129" s="56"/>
      <c r="L129" s="50">
        <f>K129-J129</f>
        <v>0</v>
      </c>
    </row>
    <row r="130" spans="1:12" x14ac:dyDescent="0.25">
      <c r="A130" s="60" t="s">
        <v>613</v>
      </c>
      <c r="B130" s="51"/>
      <c r="C130" s="51"/>
      <c r="D130" s="51"/>
      <c r="E130" s="51"/>
      <c r="F130" s="203"/>
      <c r="G130" s="51"/>
      <c r="H130" s="295" t="s">
        <v>762</v>
      </c>
      <c r="I130" s="296"/>
      <c r="J130" s="56"/>
      <c r="K130" s="56"/>
      <c r="L130" s="50">
        <f>ABS(J130)+ABS(K130)</f>
        <v>0</v>
      </c>
    </row>
    <row r="131" spans="1:12" x14ac:dyDescent="0.25">
      <c r="A131" s="60" t="s">
        <v>887</v>
      </c>
      <c r="B131" s="56"/>
      <c r="C131" s="56"/>
      <c r="D131" s="56"/>
      <c r="E131" s="56"/>
      <c r="F131" s="65"/>
      <c r="G131" s="56"/>
      <c r="H131" s="47"/>
      <c r="I131" s="47"/>
      <c r="J131" s="47"/>
      <c r="K131" s="47"/>
      <c r="L131" s="47"/>
    </row>
    <row r="132" spans="1:12" x14ac:dyDescent="0.25">
      <c r="A132" s="44"/>
      <c r="B132" s="68"/>
      <c r="C132" s="68"/>
      <c r="D132" s="68"/>
      <c r="E132" s="68"/>
      <c r="F132" s="48"/>
      <c r="G132" s="47"/>
      <c r="H132" s="47"/>
      <c r="I132" s="47"/>
      <c r="J132" s="334"/>
      <c r="K132" s="334"/>
      <c r="L132" s="44"/>
    </row>
    <row r="133" spans="1:12" x14ac:dyDescent="0.25">
      <c r="A133" s="47"/>
      <c r="B133" s="299" t="s">
        <v>379</v>
      </c>
      <c r="C133" s="300"/>
      <c r="D133" s="301"/>
      <c r="E133" s="299" t="s">
        <v>871</v>
      </c>
      <c r="F133" s="300"/>
      <c r="G133" s="301"/>
      <c r="H133" s="47"/>
      <c r="I133" s="47"/>
      <c r="J133" s="299" t="s">
        <v>790</v>
      </c>
      <c r="K133" s="301"/>
      <c r="L133" s="48"/>
    </row>
    <row r="134" spans="1:12" x14ac:dyDescent="0.25">
      <c r="A134" s="40"/>
      <c r="B134" s="315" t="s">
        <v>585</v>
      </c>
      <c r="C134" s="316"/>
      <c r="D134" s="317"/>
      <c r="E134" s="315"/>
      <c r="F134" s="316"/>
      <c r="G134" s="317"/>
      <c r="H134" s="311" t="s">
        <v>791</v>
      </c>
      <c r="I134" s="449"/>
      <c r="J134" s="297" t="str">
        <f>IF(L129= 0, " ", B70/(1.08*L129))</f>
        <v xml:space="preserve"> </v>
      </c>
      <c r="K134" s="298"/>
      <c r="L134" s="48"/>
    </row>
    <row r="135" spans="1:12" x14ac:dyDescent="0.25">
      <c r="A135" s="40"/>
      <c r="B135" s="336"/>
      <c r="C135" s="337"/>
      <c r="D135" s="338"/>
      <c r="E135" s="336"/>
      <c r="F135" s="337"/>
      <c r="G135" s="338"/>
      <c r="H135" s="450" t="s">
        <v>792</v>
      </c>
      <c r="I135" s="296"/>
      <c r="J135" s="336"/>
      <c r="K135" s="338"/>
      <c r="L135" s="47"/>
    </row>
    <row r="136" spans="1:12" x14ac:dyDescent="0.25">
      <c r="A136" s="40"/>
      <c r="B136" s="48"/>
      <c r="C136" s="48"/>
      <c r="D136" s="48"/>
      <c r="E136" s="47"/>
      <c r="F136" s="47"/>
      <c r="G136" s="47"/>
      <c r="H136" s="47"/>
      <c r="I136" s="47"/>
      <c r="J136" s="47"/>
      <c r="K136" s="47"/>
      <c r="L136" s="47"/>
    </row>
    <row r="137" spans="1:12" x14ac:dyDescent="0.25">
      <c r="A137" s="40"/>
      <c r="B137" s="414" t="s">
        <v>422</v>
      </c>
      <c r="C137" s="415"/>
      <c r="D137" s="415"/>
      <c r="E137" s="415"/>
      <c r="F137" s="415"/>
      <c r="G137" s="416"/>
      <c r="H137" s="44"/>
      <c r="I137" s="48"/>
      <c r="J137" s="299" t="s">
        <v>763</v>
      </c>
      <c r="K137" s="300"/>
      <c r="L137" s="301"/>
    </row>
    <row r="138" spans="1:12" x14ac:dyDescent="0.25">
      <c r="A138" s="40"/>
      <c r="B138" s="349" t="s">
        <v>917</v>
      </c>
      <c r="C138" s="350"/>
      <c r="D138" s="350"/>
      <c r="E138" s="350"/>
      <c r="F138" s="350"/>
      <c r="G138" s="351"/>
      <c r="H138" s="48"/>
      <c r="I138" s="48"/>
      <c r="J138" s="346"/>
      <c r="K138" s="347"/>
      <c r="L138" s="348"/>
    </row>
    <row r="139" spans="1:12" x14ac:dyDescent="0.25">
      <c r="A139" s="40"/>
      <c r="B139" s="349"/>
      <c r="C139" s="350"/>
      <c r="D139" s="350"/>
      <c r="E139" s="350"/>
      <c r="F139" s="350"/>
      <c r="G139" s="351"/>
      <c r="H139" s="48"/>
      <c r="I139" s="48"/>
      <c r="J139" s="346"/>
      <c r="K139" s="347"/>
      <c r="L139" s="348"/>
    </row>
    <row r="140" spans="1:12" x14ac:dyDescent="0.25">
      <c r="A140" s="44"/>
      <c r="B140" s="352"/>
      <c r="C140" s="353"/>
      <c r="D140" s="353"/>
      <c r="E140" s="353"/>
      <c r="F140" s="353"/>
      <c r="G140" s="354"/>
      <c r="H140" s="40"/>
      <c r="I140" s="48"/>
      <c r="J140" s="343"/>
      <c r="K140" s="448"/>
      <c r="L140" s="344"/>
    </row>
    <row r="141" spans="1:12" x14ac:dyDescent="0.25">
      <c r="A141" s="44"/>
      <c r="B141" s="44"/>
      <c r="C141" s="48"/>
      <c r="D141" s="48"/>
      <c r="E141" s="48"/>
      <c r="F141" s="48"/>
      <c r="G141" s="48"/>
      <c r="H141" s="48"/>
      <c r="I141" s="48"/>
      <c r="J141" s="47"/>
      <c r="K141" s="47"/>
      <c r="L141" s="47"/>
    </row>
    <row r="142" spans="1:12" x14ac:dyDescent="0.25">
      <c r="A142" s="40"/>
      <c r="B142" s="48"/>
      <c r="C142" s="48"/>
      <c r="D142" s="48"/>
      <c r="E142" s="47"/>
      <c r="F142" s="47"/>
      <c r="G142" s="47"/>
      <c r="H142" s="47"/>
    </row>
    <row r="143" spans="1:12" x14ac:dyDescent="0.25">
      <c r="A143" s="160"/>
      <c r="B143" s="160"/>
      <c r="C143" s="160"/>
      <c r="D143" s="160"/>
      <c r="E143" s="160"/>
      <c r="F143" s="160"/>
      <c r="G143" s="160"/>
      <c r="H143" s="160"/>
      <c r="I143" s="160"/>
      <c r="J143" s="160"/>
      <c r="K143" s="160"/>
      <c r="L143" s="160"/>
    </row>
    <row r="144" spans="1:12" x14ac:dyDescent="0.25">
      <c r="A144" s="160"/>
      <c r="B144" s="160"/>
      <c r="C144" s="160"/>
      <c r="D144" s="160"/>
      <c r="E144" s="160"/>
      <c r="F144" s="160"/>
      <c r="G144" s="160"/>
      <c r="H144" s="160"/>
      <c r="I144" s="160"/>
      <c r="J144" s="160"/>
      <c r="K144" s="160"/>
      <c r="L144" s="160"/>
    </row>
    <row r="145" spans="1:13" x14ac:dyDescent="0.25">
      <c r="A145" s="160"/>
      <c r="B145" s="160"/>
      <c r="C145" s="160"/>
      <c r="D145" s="160"/>
      <c r="E145" s="160"/>
      <c r="F145" s="160"/>
      <c r="G145" s="160"/>
      <c r="H145" s="160"/>
      <c r="I145" s="160"/>
      <c r="J145" s="160"/>
      <c r="K145" s="160"/>
      <c r="L145" s="160"/>
    </row>
    <row r="146" spans="1:13" x14ac:dyDescent="0.25">
      <c r="A146" s="160"/>
      <c r="B146" s="160"/>
      <c r="C146" s="160"/>
      <c r="D146" s="160"/>
      <c r="E146" s="160"/>
      <c r="F146" s="160"/>
      <c r="G146" s="160"/>
      <c r="H146" s="160"/>
      <c r="I146" s="160"/>
      <c r="J146" s="160"/>
      <c r="K146" s="160"/>
      <c r="L146" s="160"/>
    </row>
    <row r="147" spans="1:13" ht="20.25" x14ac:dyDescent="0.3">
      <c r="A147" s="400" t="s">
        <v>681</v>
      </c>
      <c r="B147" s="400"/>
      <c r="C147" s="400"/>
      <c r="D147" s="400"/>
      <c r="E147" s="400"/>
      <c r="F147" s="400"/>
      <c r="G147" s="400"/>
      <c r="H147" s="400"/>
      <c r="I147" s="400"/>
      <c r="J147" s="400"/>
      <c r="K147" s="400"/>
      <c r="L147" s="400"/>
    </row>
    <row r="148" spans="1:13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40"/>
    </row>
    <row r="149" spans="1:13" x14ac:dyDescent="0.25">
      <c r="A149" s="170" t="s">
        <v>871</v>
      </c>
      <c r="B149" s="170" t="s">
        <v>872</v>
      </c>
      <c r="C149" s="170" t="s">
        <v>838</v>
      </c>
      <c r="D149" s="170" t="s">
        <v>686</v>
      </c>
      <c r="E149" s="170" t="s">
        <v>835</v>
      </c>
      <c r="F149" s="170" t="s">
        <v>840</v>
      </c>
      <c r="G149" s="170" t="s">
        <v>839</v>
      </c>
      <c r="H149" s="170" t="s">
        <v>837</v>
      </c>
      <c r="I149" s="170" t="s">
        <v>836</v>
      </c>
      <c r="J149" s="170" t="s">
        <v>873</v>
      </c>
      <c r="K149" s="345" t="s">
        <v>106</v>
      </c>
      <c r="L149" s="345"/>
    </row>
    <row r="150" spans="1:13" x14ac:dyDescent="0.25">
      <c r="A150" s="126" t="s">
        <v>485</v>
      </c>
      <c r="B150" s="126" t="s">
        <v>723</v>
      </c>
      <c r="C150" s="126">
        <v>464</v>
      </c>
      <c r="D150" s="126">
        <v>0</v>
      </c>
      <c r="E150" s="126">
        <v>0</v>
      </c>
      <c r="F150" s="126" t="s">
        <v>724</v>
      </c>
      <c r="G150" s="126" t="s">
        <v>805</v>
      </c>
      <c r="H150" s="126" t="s">
        <v>845</v>
      </c>
      <c r="I150" s="184">
        <v>49</v>
      </c>
      <c r="J150" s="204" t="s">
        <v>865</v>
      </c>
      <c r="K150" s="343" t="s">
        <v>929</v>
      </c>
      <c r="L150" s="344"/>
    </row>
    <row r="151" spans="1:13" x14ac:dyDescent="0.25">
      <c r="A151" s="184" t="s">
        <v>754</v>
      </c>
      <c r="B151" s="184" t="s">
        <v>723</v>
      </c>
      <c r="C151" s="184">
        <v>256</v>
      </c>
      <c r="D151" s="184">
        <v>0</v>
      </c>
      <c r="E151" s="184">
        <v>0</v>
      </c>
      <c r="F151" s="184" t="s">
        <v>724</v>
      </c>
      <c r="G151" s="184"/>
      <c r="H151" s="184" t="s">
        <v>845</v>
      </c>
      <c r="I151" s="184">
        <v>19</v>
      </c>
      <c r="J151" s="204" t="s">
        <v>645</v>
      </c>
      <c r="K151" s="343" t="s">
        <v>929</v>
      </c>
      <c r="L151" s="344"/>
    </row>
    <row r="152" spans="1:13" x14ac:dyDescent="0.25">
      <c r="A152" s="184" t="s">
        <v>485</v>
      </c>
      <c r="B152" s="184"/>
      <c r="C152" s="184">
        <v>100</v>
      </c>
      <c r="D152" s="184"/>
      <c r="E152" s="184"/>
      <c r="F152" s="184"/>
      <c r="G152" s="184"/>
      <c r="H152" s="184"/>
      <c r="I152" s="184">
        <v>49</v>
      </c>
      <c r="J152" s="204" t="s">
        <v>865</v>
      </c>
      <c r="K152" s="343" t="s">
        <v>930</v>
      </c>
      <c r="L152" s="344"/>
    </row>
    <row r="153" spans="1:13" x14ac:dyDescent="0.25">
      <c r="A153" s="184"/>
      <c r="B153" s="184"/>
      <c r="C153" s="184"/>
      <c r="D153" s="184"/>
      <c r="E153" s="184"/>
      <c r="F153" s="184"/>
      <c r="G153" s="184"/>
      <c r="H153" s="184"/>
      <c r="I153" s="184"/>
      <c r="J153" s="204"/>
      <c r="K153" s="343"/>
      <c r="L153" s="344"/>
    </row>
    <row r="154" spans="1:13" x14ac:dyDescent="0.25">
      <c r="A154" s="184"/>
      <c r="B154" s="184"/>
      <c r="C154" s="184"/>
      <c r="D154" s="184"/>
      <c r="E154" s="184"/>
      <c r="F154" s="184"/>
      <c r="G154" s="184"/>
      <c r="H154" s="184"/>
      <c r="I154" s="184"/>
      <c r="J154" s="204"/>
      <c r="K154" s="343"/>
      <c r="L154" s="344"/>
    </row>
    <row r="155" spans="1:13" x14ac:dyDescent="0.25">
      <c r="A155" s="184"/>
      <c r="B155" s="184"/>
      <c r="C155" s="184"/>
      <c r="D155" s="184"/>
      <c r="E155" s="184"/>
      <c r="F155" s="184"/>
      <c r="G155" s="184"/>
      <c r="H155" s="184"/>
      <c r="I155" s="184"/>
      <c r="J155" s="204"/>
      <c r="K155" s="343"/>
      <c r="L155" s="344"/>
    </row>
    <row r="156" spans="1:13" x14ac:dyDescent="0.25">
      <c r="A156" s="184"/>
      <c r="B156" s="184"/>
      <c r="C156" s="184"/>
      <c r="D156" s="184"/>
      <c r="E156" s="184"/>
      <c r="F156" s="184"/>
      <c r="G156" s="184"/>
      <c r="H156" s="184"/>
      <c r="I156" s="184"/>
      <c r="J156" s="204"/>
      <c r="K156" s="343"/>
      <c r="L156" s="344"/>
    </row>
    <row r="157" spans="1:13" x14ac:dyDescent="0.25">
      <c r="A157" s="184"/>
      <c r="B157" s="184"/>
      <c r="C157" s="184"/>
      <c r="D157" s="184"/>
      <c r="E157" s="184"/>
      <c r="F157" s="184"/>
      <c r="G157" s="184"/>
      <c r="H157" s="184"/>
      <c r="I157" s="184"/>
      <c r="J157" s="204"/>
      <c r="K157" s="343"/>
      <c r="L157" s="344"/>
    </row>
    <row r="158" spans="1:13" x14ac:dyDescent="0.25">
      <c r="A158" s="184"/>
      <c r="B158" s="184"/>
      <c r="C158" s="184"/>
      <c r="D158" s="184"/>
      <c r="E158" s="184"/>
      <c r="F158" s="184"/>
      <c r="G158" s="184"/>
      <c r="H158" s="184"/>
      <c r="I158" s="184"/>
      <c r="J158" s="204"/>
      <c r="K158" s="343"/>
      <c r="L158" s="344"/>
    </row>
    <row r="159" spans="1:13" x14ac:dyDescent="0.25">
      <c r="A159" s="365" t="s">
        <v>266</v>
      </c>
      <c r="B159" s="365"/>
      <c r="C159" s="205">
        <f>SUM(C150:C157)</f>
        <v>820</v>
      </c>
      <c r="D159" s="47"/>
      <c r="E159" s="47"/>
      <c r="F159" s="47"/>
      <c r="G159" s="47"/>
      <c r="H159" s="47"/>
      <c r="I159" s="38" t="s">
        <v>265</v>
      </c>
      <c r="J159" s="206">
        <f>G240</f>
        <v>0</v>
      </c>
      <c r="K159" s="47"/>
      <c r="L159" s="47"/>
    </row>
    <row r="160" spans="1:13" x14ac:dyDescent="0.25">
      <c r="A160" s="395"/>
      <c r="B160" s="395"/>
      <c r="C160" s="207"/>
      <c r="D160" s="47"/>
      <c r="E160" s="38"/>
      <c r="F160" s="206"/>
      <c r="G160" s="47"/>
      <c r="H160" s="47"/>
      <c r="I160" s="38"/>
      <c r="J160" s="206"/>
      <c r="K160" s="47"/>
      <c r="L160" s="47"/>
    </row>
    <row r="161" spans="1:23" ht="20.25" x14ac:dyDescent="0.3">
      <c r="A161" s="400" t="s">
        <v>682</v>
      </c>
      <c r="B161" s="400"/>
      <c r="C161" s="400"/>
      <c r="D161" s="400"/>
      <c r="E161" s="400"/>
      <c r="F161" s="400"/>
      <c r="G161" s="400"/>
      <c r="H161" s="400"/>
      <c r="I161" s="400"/>
      <c r="J161" s="400"/>
      <c r="K161" s="400"/>
      <c r="L161" s="400"/>
    </row>
    <row r="162" spans="1:23" x14ac:dyDescent="0.25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23" x14ac:dyDescent="0.25">
      <c r="A163" s="170" t="s">
        <v>871</v>
      </c>
      <c r="B163" s="170" t="s">
        <v>872</v>
      </c>
      <c r="C163" s="170" t="s">
        <v>838</v>
      </c>
      <c r="D163" s="170" t="s">
        <v>686</v>
      </c>
      <c r="E163" s="170" t="s">
        <v>835</v>
      </c>
      <c r="F163" s="170" t="s">
        <v>840</v>
      </c>
      <c r="G163" s="170" t="s">
        <v>839</v>
      </c>
      <c r="H163" s="170" t="s">
        <v>837</v>
      </c>
      <c r="I163" s="170" t="s">
        <v>836</v>
      </c>
      <c r="J163" s="170" t="s">
        <v>873</v>
      </c>
      <c r="K163" s="345" t="s">
        <v>106</v>
      </c>
      <c r="L163" s="345"/>
    </row>
    <row r="164" spans="1:23" x14ac:dyDescent="0.25">
      <c r="A164" s="126" t="s">
        <v>617</v>
      </c>
      <c r="B164" s="126" t="s">
        <v>645</v>
      </c>
      <c r="C164" s="126">
        <v>104</v>
      </c>
      <c r="D164" s="126">
        <v>6</v>
      </c>
      <c r="E164" s="126">
        <v>6</v>
      </c>
      <c r="F164" s="126" t="s">
        <v>731</v>
      </c>
      <c r="G164" s="126"/>
      <c r="H164" s="126" t="s">
        <v>847</v>
      </c>
      <c r="I164" s="184">
        <v>30</v>
      </c>
      <c r="J164" s="204" t="s">
        <v>645</v>
      </c>
      <c r="K164" s="343" t="s">
        <v>924</v>
      </c>
      <c r="L164" s="344"/>
    </row>
    <row r="165" spans="1:23" x14ac:dyDescent="0.25">
      <c r="A165" s="184" t="s">
        <v>572</v>
      </c>
      <c r="B165" s="184" t="s">
        <v>723</v>
      </c>
      <c r="C165" s="184">
        <v>43</v>
      </c>
      <c r="D165" s="184">
        <v>0</v>
      </c>
      <c r="E165" s="184"/>
      <c r="F165" s="184"/>
      <c r="G165" s="184"/>
      <c r="H165" s="184" t="s">
        <v>847</v>
      </c>
      <c r="I165" s="184">
        <v>14</v>
      </c>
      <c r="J165" s="204" t="s">
        <v>868</v>
      </c>
      <c r="K165" s="343" t="s">
        <v>927</v>
      </c>
      <c r="L165" s="344"/>
    </row>
    <row r="166" spans="1:23" x14ac:dyDescent="0.25">
      <c r="A166" s="184" t="s">
        <v>572</v>
      </c>
      <c r="B166" s="184" t="s">
        <v>723</v>
      </c>
      <c r="C166" s="184">
        <v>85</v>
      </c>
      <c r="D166" s="184">
        <v>0</v>
      </c>
      <c r="E166" s="184"/>
      <c r="F166" s="184"/>
      <c r="G166" s="184"/>
      <c r="H166" s="184" t="s">
        <v>847</v>
      </c>
      <c r="I166" s="184">
        <v>14</v>
      </c>
      <c r="J166" s="204" t="s">
        <v>868</v>
      </c>
      <c r="K166" s="343" t="s">
        <v>931</v>
      </c>
      <c r="L166" s="344"/>
    </row>
    <row r="167" spans="1:23" x14ac:dyDescent="0.25">
      <c r="A167" s="184"/>
      <c r="B167" s="184"/>
      <c r="C167" s="184"/>
      <c r="D167" s="184"/>
      <c r="E167" s="184"/>
      <c r="F167" s="184"/>
      <c r="G167" s="184"/>
      <c r="H167" s="184"/>
      <c r="I167" s="184"/>
      <c r="J167" s="204"/>
      <c r="K167" s="343"/>
      <c r="L167" s="344"/>
    </row>
    <row r="168" spans="1:23" x14ac:dyDescent="0.25">
      <c r="A168" s="184"/>
      <c r="B168" s="184"/>
      <c r="C168" s="184"/>
      <c r="D168" s="184"/>
      <c r="E168" s="184"/>
      <c r="F168" s="184"/>
      <c r="G168" s="184"/>
      <c r="H168" s="184"/>
      <c r="I168" s="184"/>
      <c r="J168" s="204"/>
      <c r="K168" s="343"/>
      <c r="L168" s="344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</row>
    <row r="169" spans="1:23" x14ac:dyDescent="0.25">
      <c r="A169" s="365" t="s">
        <v>267</v>
      </c>
      <c r="B169" s="365"/>
      <c r="C169" s="205">
        <f>SUM(C164:C167)</f>
        <v>232</v>
      </c>
      <c r="D169" s="208"/>
      <c r="E169" s="208"/>
      <c r="F169" s="208"/>
      <c r="G169" s="208"/>
      <c r="H169" s="208"/>
      <c r="I169" s="38" t="s">
        <v>496</v>
      </c>
      <c r="J169" s="56"/>
      <c r="K169" s="38" t="s">
        <v>497</v>
      </c>
      <c r="L169" s="56"/>
    </row>
    <row r="170" spans="1:23" x14ac:dyDescent="0.25">
      <c r="A170" s="395"/>
      <c r="B170" s="395"/>
      <c r="C170" s="207"/>
      <c r="D170" s="48"/>
      <c r="E170" s="44"/>
      <c r="F170" s="48"/>
      <c r="G170" s="44"/>
      <c r="H170" s="48"/>
      <c r="I170" s="38"/>
      <c r="J170" s="68"/>
      <c r="K170" s="38"/>
      <c r="L170" s="68"/>
    </row>
    <row r="171" spans="1:23" ht="20.25" x14ac:dyDescent="0.3">
      <c r="A171" s="400" t="s">
        <v>683</v>
      </c>
      <c r="B171" s="400"/>
      <c r="C171" s="400"/>
      <c r="D171" s="400"/>
      <c r="E171" s="400"/>
      <c r="F171" s="400"/>
      <c r="G171" s="400"/>
      <c r="H171" s="400"/>
      <c r="I171" s="400"/>
      <c r="J171" s="400"/>
      <c r="K171" s="400"/>
      <c r="L171" s="400"/>
    </row>
    <row r="172" spans="1:23" x14ac:dyDescent="0.25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23" x14ac:dyDescent="0.25">
      <c r="A173" s="170" t="s">
        <v>871</v>
      </c>
      <c r="B173" s="170" t="s">
        <v>872</v>
      </c>
      <c r="C173" s="170" t="s">
        <v>193</v>
      </c>
      <c r="D173" s="170" t="s">
        <v>686</v>
      </c>
      <c r="E173" s="170" t="s">
        <v>835</v>
      </c>
      <c r="F173" s="170" t="s">
        <v>840</v>
      </c>
      <c r="G173" s="170" t="s">
        <v>839</v>
      </c>
      <c r="H173" s="170" t="s">
        <v>837</v>
      </c>
      <c r="I173" s="170" t="s">
        <v>836</v>
      </c>
      <c r="J173" s="170" t="s">
        <v>873</v>
      </c>
      <c r="K173" s="345" t="s">
        <v>106</v>
      </c>
      <c r="L173" s="345"/>
    </row>
    <row r="174" spans="1:23" x14ac:dyDescent="0.25">
      <c r="A174" s="126" t="s">
        <v>753</v>
      </c>
      <c r="B174" s="126" t="s">
        <v>723</v>
      </c>
      <c r="C174" s="126">
        <v>735</v>
      </c>
      <c r="D174" s="126">
        <v>0</v>
      </c>
      <c r="E174" s="126">
        <v>0</v>
      </c>
      <c r="F174" s="126" t="s">
        <v>724</v>
      </c>
      <c r="G174" s="126"/>
      <c r="H174" s="126" t="s">
        <v>845</v>
      </c>
      <c r="I174" s="184">
        <v>13</v>
      </c>
      <c r="J174" s="204" t="s">
        <v>865</v>
      </c>
      <c r="K174" s="343" t="s">
        <v>926</v>
      </c>
      <c r="L174" s="344"/>
    </row>
    <row r="175" spans="1:23" x14ac:dyDescent="0.25">
      <c r="A175" s="184" t="s">
        <v>569</v>
      </c>
      <c r="B175" s="184" t="s">
        <v>723</v>
      </c>
      <c r="C175" s="184">
        <v>110</v>
      </c>
      <c r="D175" s="184">
        <v>0</v>
      </c>
      <c r="E175" s="184">
        <v>0</v>
      </c>
      <c r="F175" s="184" t="s">
        <v>724</v>
      </c>
      <c r="G175" s="184"/>
      <c r="H175" s="184" t="s">
        <v>845</v>
      </c>
      <c r="I175" s="184">
        <v>13</v>
      </c>
      <c r="J175" s="204" t="s">
        <v>865</v>
      </c>
      <c r="K175" s="343"/>
      <c r="L175" s="344"/>
    </row>
    <row r="176" spans="1:23" x14ac:dyDescent="0.25">
      <c r="A176" s="184" t="s">
        <v>629</v>
      </c>
      <c r="B176" s="184" t="s">
        <v>723</v>
      </c>
      <c r="C176" s="184">
        <v>217</v>
      </c>
      <c r="D176" s="184">
        <v>0</v>
      </c>
      <c r="E176" s="184"/>
      <c r="F176" s="184"/>
      <c r="G176" s="184"/>
      <c r="H176" s="184"/>
      <c r="I176" s="184">
        <v>13</v>
      </c>
      <c r="J176" s="204" t="s">
        <v>865</v>
      </c>
      <c r="K176" s="343" t="s">
        <v>925</v>
      </c>
      <c r="L176" s="344"/>
    </row>
    <row r="177" spans="1:12" x14ac:dyDescent="0.25">
      <c r="A177" s="184"/>
      <c r="B177" s="184"/>
      <c r="C177" s="184"/>
      <c r="D177" s="184"/>
      <c r="E177" s="184"/>
      <c r="F177" s="184"/>
      <c r="G177" s="184"/>
      <c r="H177" s="184"/>
      <c r="I177" s="184"/>
      <c r="J177" s="204"/>
      <c r="K177" s="343"/>
      <c r="L177" s="344"/>
    </row>
    <row r="178" spans="1:12" x14ac:dyDescent="0.25">
      <c r="A178" s="184"/>
      <c r="B178" s="184"/>
      <c r="C178" s="184"/>
      <c r="D178" s="184"/>
      <c r="E178" s="184"/>
      <c r="F178" s="184"/>
      <c r="G178" s="184"/>
      <c r="H178" s="184"/>
      <c r="I178" s="184"/>
      <c r="J178" s="204"/>
      <c r="K178" s="343"/>
      <c r="L178" s="344"/>
    </row>
    <row r="179" spans="1:12" x14ac:dyDescent="0.25">
      <c r="A179" s="313" t="s">
        <v>268</v>
      </c>
      <c r="B179" s="396"/>
      <c r="C179" s="85">
        <f>SUM(C174:C177)</f>
        <v>1062</v>
      </c>
      <c r="D179" s="48"/>
      <c r="E179" s="48"/>
      <c r="F179" s="48"/>
      <c r="G179" s="48"/>
      <c r="H179" s="48"/>
      <c r="I179" s="48"/>
      <c r="J179" s="48"/>
      <c r="K179" s="48"/>
      <c r="L179" s="48"/>
    </row>
    <row r="180" spans="1:12" x14ac:dyDescent="0.25">
      <c r="A180" s="425" t="s">
        <v>7</v>
      </c>
      <c r="B180" s="425"/>
      <c r="C180" s="425"/>
      <c r="D180" s="425"/>
      <c r="E180" s="425"/>
      <c r="F180" s="209"/>
      <c r="G180" s="48"/>
      <c r="H180" s="48"/>
      <c r="I180" s="48"/>
      <c r="J180" s="48"/>
      <c r="K180" s="48"/>
      <c r="L180" s="48"/>
    </row>
    <row r="181" spans="1:12" ht="20.25" x14ac:dyDescent="0.3">
      <c r="A181" s="209"/>
      <c r="B181" s="209"/>
      <c r="C181" s="90"/>
      <c r="D181" s="48"/>
      <c r="E181" s="48"/>
      <c r="F181" s="255" t="s">
        <v>194</v>
      </c>
      <c r="G181" s="255"/>
      <c r="H181" s="48"/>
      <c r="I181" s="48"/>
      <c r="J181" s="48"/>
      <c r="K181" s="48"/>
      <c r="L181" s="48"/>
    </row>
    <row r="182" spans="1:12" x14ac:dyDescent="0.25">
      <c r="A182" s="209"/>
      <c r="B182" s="209"/>
      <c r="C182" s="209"/>
      <c r="D182" s="209"/>
      <c r="E182" s="209"/>
      <c r="F182" s="209"/>
      <c r="G182" s="52"/>
      <c r="H182" s="209"/>
      <c r="I182" s="209"/>
      <c r="J182" s="209"/>
      <c r="K182" s="209"/>
      <c r="L182" s="209"/>
    </row>
    <row r="183" spans="1:12" x14ac:dyDescent="0.25">
      <c r="A183" s="42" t="s">
        <v>235</v>
      </c>
      <c r="B183" s="42" t="s">
        <v>10</v>
      </c>
      <c r="C183" s="42" t="s">
        <v>236</v>
      </c>
      <c r="D183" s="42" t="s">
        <v>237</v>
      </c>
      <c r="E183" s="42" t="s">
        <v>8</v>
      </c>
      <c r="F183" s="42" t="s">
        <v>812</v>
      </c>
      <c r="G183" s="42" t="s">
        <v>241</v>
      </c>
      <c r="H183" s="42" t="s">
        <v>571</v>
      </c>
      <c r="I183" s="210"/>
      <c r="J183" s="419" t="s">
        <v>5</v>
      </c>
      <c r="K183" s="420"/>
      <c r="L183" s="421"/>
    </row>
    <row r="184" spans="1:12" x14ac:dyDescent="0.25">
      <c r="A184" s="211" t="s">
        <v>915</v>
      </c>
      <c r="B184" s="212" t="s">
        <v>915</v>
      </c>
      <c r="C184" s="212" t="s">
        <v>915</v>
      </c>
      <c r="D184" s="212" t="s">
        <v>915</v>
      </c>
      <c r="E184" s="213" t="s">
        <v>915</v>
      </c>
      <c r="F184" s="212" t="s">
        <v>915</v>
      </c>
      <c r="G184" s="180"/>
      <c r="H184" s="65"/>
      <c r="I184" s="214"/>
      <c r="J184" s="422"/>
      <c r="K184" s="423"/>
      <c r="L184" s="424"/>
    </row>
    <row r="185" spans="1:12" x14ac:dyDescent="0.25">
      <c r="A185" s="211" t="s">
        <v>915</v>
      </c>
      <c r="B185" s="212" t="s">
        <v>915</v>
      </c>
      <c r="C185" s="212" t="s">
        <v>915</v>
      </c>
      <c r="D185" s="212" t="s">
        <v>915</v>
      </c>
      <c r="E185" s="213" t="s">
        <v>915</v>
      </c>
      <c r="F185" s="212" t="s">
        <v>915</v>
      </c>
      <c r="G185" s="180"/>
      <c r="H185" s="215"/>
      <c r="I185" s="214"/>
      <c r="J185" s="305"/>
      <c r="K185" s="306"/>
      <c r="L185" s="307"/>
    </row>
    <row r="186" spans="1:12" x14ac:dyDescent="0.25">
      <c r="A186" s="216" t="s">
        <v>915</v>
      </c>
      <c r="B186" s="212" t="s">
        <v>915</v>
      </c>
      <c r="C186" s="217" t="s">
        <v>915</v>
      </c>
      <c r="D186" s="217" t="s">
        <v>915</v>
      </c>
      <c r="E186" s="213" t="s">
        <v>915</v>
      </c>
      <c r="F186" s="212" t="s">
        <v>915</v>
      </c>
      <c r="G186" s="180"/>
      <c r="H186" s="218"/>
      <c r="I186" s="214"/>
      <c r="J186" s="305"/>
      <c r="K186" s="306"/>
      <c r="L186" s="307"/>
    </row>
    <row r="187" spans="1:12" x14ac:dyDescent="0.25">
      <c r="A187" s="216" t="s">
        <v>915</v>
      </c>
      <c r="B187" s="212" t="s">
        <v>915</v>
      </c>
      <c r="C187" s="217" t="s">
        <v>915</v>
      </c>
      <c r="D187" s="217" t="s">
        <v>915</v>
      </c>
      <c r="E187" s="213" t="s">
        <v>915</v>
      </c>
      <c r="F187" s="212" t="s">
        <v>915</v>
      </c>
      <c r="G187" s="180"/>
      <c r="H187" s="218"/>
      <c r="I187" s="214"/>
      <c r="J187" s="305"/>
      <c r="K187" s="306"/>
      <c r="L187" s="307"/>
    </row>
    <row r="188" spans="1:12" x14ac:dyDescent="0.25">
      <c r="A188" s="219" t="s">
        <v>915</v>
      </c>
      <c r="B188" s="220" t="s">
        <v>915</v>
      </c>
      <c r="C188" s="221" t="s">
        <v>915</v>
      </c>
      <c r="D188" s="221" t="s">
        <v>915</v>
      </c>
      <c r="E188" s="222" t="s">
        <v>915</v>
      </c>
      <c r="F188" s="220" t="s">
        <v>915</v>
      </c>
      <c r="G188" s="223"/>
      <c r="H188" s="218"/>
      <c r="I188" s="214"/>
      <c r="J188" s="305"/>
      <c r="K188" s="306"/>
      <c r="L188" s="307"/>
    </row>
    <row r="189" spans="1:12" x14ac:dyDescent="0.25">
      <c r="A189" s="219" t="s">
        <v>915</v>
      </c>
      <c r="B189" s="220" t="s">
        <v>915</v>
      </c>
      <c r="C189" s="221" t="s">
        <v>915</v>
      </c>
      <c r="D189" s="221" t="s">
        <v>915</v>
      </c>
      <c r="E189" s="222" t="s">
        <v>915</v>
      </c>
      <c r="F189" s="220" t="s">
        <v>915</v>
      </c>
      <c r="G189" s="223"/>
      <c r="H189" s="218"/>
      <c r="I189" s="214"/>
      <c r="J189" s="305"/>
      <c r="K189" s="306"/>
      <c r="L189" s="307"/>
    </row>
    <row r="190" spans="1:12" x14ac:dyDescent="0.25">
      <c r="A190" s="219" t="s">
        <v>915</v>
      </c>
      <c r="B190" s="220" t="s">
        <v>915</v>
      </c>
      <c r="C190" s="221" t="s">
        <v>915</v>
      </c>
      <c r="D190" s="221" t="s">
        <v>915</v>
      </c>
      <c r="E190" s="222" t="s">
        <v>915</v>
      </c>
      <c r="F190" s="220" t="s">
        <v>915</v>
      </c>
      <c r="G190" s="223"/>
      <c r="H190" s="218"/>
      <c r="I190" s="214"/>
      <c r="J190" s="305"/>
      <c r="K190" s="306"/>
      <c r="L190" s="307"/>
    </row>
    <row r="191" spans="1:12" x14ac:dyDescent="0.25">
      <c r="A191" s="219" t="s">
        <v>915</v>
      </c>
      <c r="B191" s="220" t="s">
        <v>915</v>
      </c>
      <c r="C191" s="221" t="s">
        <v>915</v>
      </c>
      <c r="D191" s="221" t="s">
        <v>915</v>
      </c>
      <c r="E191" s="222" t="s">
        <v>915</v>
      </c>
      <c r="F191" s="220" t="s">
        <v>915</v>
      </c>
      <c r="G191" s="223"/>
      <c r="H191" s="218"/>
      <c r="I191" s="214"/>
      <c r="J191" s="305"/>
      <c r="K191" s="306"/>
      <c r="L191" s="307"/>
    </row>
    <row r="192" spans="1:12" x14ac:dyDescent="0.25">
      <c r="A192" s="219"/>
      <c r="B192" s="220"/>
      <c r="C192" s="221"/>
      <c r="D192" s="221"/>
      <c r="E192" s="222">
        <f t="shared" ref="E192:E203" si="1">C192*D192/144</f>
        <v>0</v>
      </c>
      <c r="F192" s="220"/>
      <c r="G192" s="223"/>
      <c r="H192" s="218"/>
      <c r="I192" s="214"/>
      <c r="J192" s="305"/>
      <c r="K192" s="306"/>
      <c r="L192" s="307"/>
    </row>
    <row r="193" spans="1:19" x14ac:dyDescent="0.25">
      <c r="A193" s="219"/>
      <c r="B193" s="220"/>
      <c r="C193" s="221"/>
      <c r="D193" s="221"/>
      <c r="E193" s="222">
        <f t="shared" si="1"/>
        <v>0</v>
      </c>
      <c r="F193" s="220"/>
      <c r="G193" s="223"/>
      <c r="H193" s="218"/>
      <c r="I193" s="214"/>
      <c r="J193" s="305"/>
      <c r="K193" s="306"/>
      <c r="L193" s="307"/>
    </row>
    <row r="194" spans="1:19" x14ac:dyDescent="0.25">
      <c r="A194" s="219"/>
      <c r="B194" s="220"/>
      <c r="C194" s="221"/>
      <c r="D194" s="221"/>
      <c r="E194" s="222">
        <f t="shared" si="1"/>
        <v>0</v>
      </c>
      <c r="F194" s="220"/>
      <c r="G194" s="223"/>
      <c r="H194" s="218"/>
      <c r="I194" s="214"/>
      <c r="J194" s="305"/>
      <c r="K194" s="306"/>
      <c r="L194" s="307"/>
    </row>
    <row r="195" spans="1:19" x14ac:dyDescent="0.25">
      <c r="A195" s="219"/>
      <c r="B195" s="220"/>
      <c r="C195" s="221"/>
      <c r="D195" s="221"/>
      <c r="E195" s="222">
        <f t="shared" si="1"/>
        <v>0</v>
      </c>
      <c r="F195" s="220"/>
      <c r="G195" s="223"/>
      <c r="H195" s="218"/>
      <c r="I195" s="214"/>
      <c r="J195" s="305"/>
      <c r="K195" s="306"/>
      <c r="L195" s="307"/>
    </row>
    <row r="196" spans="1:19" x14ac:dyDescent="0.25">
      <c r="A196" s="219"/>
      <c r="B196" s="220"/>
      <c r="C196" s="221"/>
      <c r="D196" s="221"/>
      <c r="E196" s="222">
        <f t="shared" si="1"/>
        <v>0</v>
      </c>
      <c r="F196" s="220"/>
      <c r="G196" s="223"/>
      <c r="H196" s="218"/>
      <c r="I196" s="214"/>
      <c r="J196" s="305"/>
      <c r="K196" s="306"/>
      <c r="L196" s="307"/>
    </row>
    <row r="197" spans="1:19" x14ac:dyDescent="0.25">
      <c r="A197" s="219"/>
      <c r="B197" s="220"/>
      <c r="C197" s="221"/>
      <c r="D197" s="221"/>
      <c r="E197" s="222">
        <f t="shared" si="1"/>
        <v>0</v>
      </c>
      <c r="F197" s="220"/>
      <c r="G197" s="223"/>
      <c r="H197" s="218"/>
      <c r="I197" s="214"/>
      <c r="J197" s="305"/>
      <c r="K197" s="306"/>
      <c r="L197" s="307"/>
    </row>
    <row r="198" spans="1:19" x14ac:dyDescent="0.25">
      <c r="A198" s="219"/>
      <c r="B198" s="220"/>
      <c r="C198" s="221"/>
      <c r="D198" s="221"/>
      <c r="E198" s="222">
        <f t="shared" si="1"/>
        <v>0</v>
      </c>
      <c r="F198" s="220"/>
      <c r="G198" s="223"/>
      <c r="H198" s="218"/>
      <c r="I198" s="214"/>
      <c r="J198" s="305"/>
      <c r="K198" s="306"/>
      <c r="L198" s="307"/>
    </row>
    <row r="199" spans="1:19" x14ac:dyDescent="0.25">
      <c r="A199" s="219"/>
      <c r="B199" s="220"/>
      <c r="C199" s="221"/>
      <c r="D199" s="221"/>
      <c r="E199" s="222">
        <f t="shared" si="1"/>
        <v>0</v>
      </c>
      <c r="F199" s="220"/>
      <c r="G199" s="223"/>
      <c r="H199" s="218"/>
      <c r="I199" s="214"/>
      <c r="J199" s="305"/>
      <c r="K199" s="306"/>
      <c r="L199" s="307"/>
    </row>
    <row r="200" spans="1:19" x14ac:dyDescent="0.25">
      <c r="A200" s="219"/>
      <c r="B200" s="220"/>
      <c r="C200" s="221"/>
      <c r="D200" s="221"/>
      <c r="E200" s="222">
        <f t="shared" si="1"/>
        <v>0</v>
      </c>
      <c r="F200" s="220"/>
      <c r="G200" s="223"/>
      <c r="H200" s="218"/>
      <c r="I200" s="214"/>
      <c r="J200" s="305"/>
      <c r="K200" s="306"/>
      <c r="L200" s="307"/>
      <c r="M200" s="98"/>
      <c r="N200" s="98"/>
      <c r="O200" s="98"/>
      <c r="P200" s="98"/>
      <c r="Q200" s="98"/>
      <c r="R200" s="98"/>
      <c r="S200" s="98"/>
    </row>
    <row r="201" spans="1:19" x14ac:dyDescent="0.25">
      <c r="A201" s="219"/>
      <c r="B201" s="220"/>
      <c r="C201" s="221"/>
      <c r="D201" s="221"/>
      <c r="E201" s="222">
        <f t="shared" si="1"/>
        <v>0</v>
      </c>
      <c r="F201" s="220"/>
      <c r="G201" s="223"/>
      <c r="H201" s="218"/>
      <c r="I201" s="214"/>
      <c r="J201" s="305"/>
      <c r="K201" s="306"/>
      <c r="L201" s="307"/>
      <c r="M201" s="98"/>
      <c r="N201" s="98"/>
      <c r="O201" s="98"/>
      <c r="P201" s="98"/>
      <c r="Q201" s="98"/>
      <c r="R201" s="98"/>
      <c r="S201" s="98"/>
    </row>
    <row r="202" spans="1:19" x14ac:dyDescent="0.25">
      <c r="A202" s="219"/>
      <c r="B202" s="220"/>
      <c r="C202" s="221"/>
      <c r="D202" s="221"/>
      <c r="E202" s="222">
        <f t="shared" si="1"/>
        <v>0</v>
      </c>
      <c r="F202" s="220"/>
      <c r="G202" s="223"/>
      <c r="H202" s="218"/>
      <c r="I202" s="214"/>
      <c r="J202" s="305"/>
      <c r="K202" s="306"/>
      <c r="L202" s="307"/>
      <c r="M202" s="98"/>
      <c r="N202" s="98"/>
      <c r="O202" s="98"/>
      <c r="P202" s="98"/>
      <c r="Q202" s="98"/>
      <c r="R202" s="98"/>
      <c r="S202" s="98"/>
    </row>
    <row r="203" spans="1:19" x14ac:dyDescent="0.25">
      <c r="A203" s="219"/>
      <c r="B203" s="220"/>
      <c r="C203" s="221"/>
      <c r="D203" s="221"/>
      <c r="E203" s="222">
        <f t="shared" si="1"/>
        <v>0</v>
      </c>
      <c r="F203" s="220"/>
      <c r="G203" s="223"/>
      <c r="H203" s="218"/>
      <c r="I203" s="214"/>
      <c r="J203" s="305"/>
      <c r="K203" s="306"/>
      <c r="L203" s="307"/>
      <c r="M203" s="98"/>
      <c r="N203" s="98"/>
      <c r="O203" s="98"/>
      <c r="P203" s="98"/>
      <c r="Q203" s="98"/>
      <c r="R203" s="98"/>
      <c r="S203" s="98"/>
    </row>
    <row r="204" spans="1:19" x14ac:dyDescent="0.25">
      <c r="A204" s="224"/>
      <c r="B204" s="224"/>
      <c r="C204" s="224"/>
      <c r="D204" s="224"/>
      <c r="E204" s="225"/>
      <c r="F204" s="103"/>
      <c r="G204" s="225" t="s">
        <v>295</v>
      </c>
      <c r="H204" s="103">
        <f>C179</f>
        <v>1062</v>
      </c>
      <c r="I204" s="214"/>
      <c r="J204" s="305"/>
      <c r="K204" s="306"/>
      <c r="L204" s="307"/>
      <c r="M204" s="98"/>
      <c r="N204" s="98"/>
      <c r="O204" s="98"/>
      <c r="P204" s="98"/>
      <c r="Q204" s="98"/>
      <c r="R204" s="98"/>
      <c r="S204" s="98"/>
    </row>
    <row r="205" spans="1:19" x14ac:dyDescent="0.25">
      <c r="A205" s="226" t="s">
        <v>242</v>
      </c>
      <c r="B205" s="227"/>
      <c r="C205" s="227" t="s">
        <v>282</v>
      </c>
      <c r="D205" s="227" t="s">
        <v>281</v>
      </c>
      <c r="E205" s="227" t="s">
        <v>243</v>
      </c>
      <c r="F205" s="228" t="s">
        <v>244</v>
      </c>
      <c r="G205" s="402" t="s">
        <v>571</v>
      </c>
      <c r="H205" s="403"/>
      <c r="I205" s="214"/>
      <c r="J205" s="305"/>
      <c r="K205" s="306"/>
      <c r="L205" s="307"/>
      <c r="M205" s="98"/>
      <c r="N205" s="98"/>
      <c r="O205" s="98"/>
      <c r="P205" s="98"/>
      <c r="Q205" s="98"/>
    </row>
    <row r="206" spans="1:19" x14ac:dyDescent="0.25">
      <c r="A206" s="219">
        <f>SUM(A184:A205)</f>
        <v>0</v>
      </c>
      <c r="B206" s="219"/>
      <c r="C206" s="219">
        <f>SUBTOTAL(9,C184:C203)</f>
        <v>0</v>
      </c>
      <c r="D206" s="219">
        <f>SUBTOTAL(9,D184:D203)</f>
        <v>0</v>
      </c>
      <c r="E206" s="229">
        <f>SUM(E184:E203)</f>
        <v>0</v>
      </c>
      <c r="F206" s="230">
        <f>IF(H204=0," ",E206/H204)</f>
        <v>0</v>
      </c>
      <c r="G206" s="325"/>
      <c r="H206" s="326"/>
      <c r="I206" s="214"/>
      <c r="J206" s="305"/>
      <c r="K206" s="306"/>
      <c r="L206" s="307"/>
      <c r="M206" s="98"/>
      <c r="N206" s="98"/>
      <c r="O206" s="98"/>
      <c r="P206" s="98"/>
      <c r="Q206" s="98"/>
    </row>
    <row r="207" spans="1:19" x14ac:dyDescent="0.25">
      <c r="A207" s="333" t="s">
        <v>196</v>
      </c>
      <c r="B207" s="333"/>
      <c r="C207" s="333"/>
      <c r="D207" s="333"/>
      <c r="E207" s="333"/>
      <c r="F207" s="214"/>
      <c r="G207" s="214"/>
      <c r="H207" s="214"/>
      <c r="I207" s="214"/>
      <c r="J207" s="98"/>
      <c r="K207" s="214"/>
      <c r="L207" s="214"/>
    </row>
    <row r="208" spans="1:19" x14ac:dyDescent="0.25">
      <c r="A208" s="160"/>
      <c r="B208" s="160"/>
      <c r="C208" s="160"/>
      <c r="D208" s="160"/>
      <c r="E208" s="190"/>
      <c r="F208" s="190"/>
      <c r="G208" s="190"/>
      <c r="H208" s="190"/>
      <c r="I208" s="190"/>
      <c r="J208" s="113"/>
      <c r="K208" s="190"/>
      <c r="L208" s="190"/>
    </row>
    <row r="209" spans="1:12" x14ac:dyDescent="0.25">
      <c r="A209" s="304"/>
      <c r="B209" s="304"/>
      <c r="C209" s="304"/>
      <c r="D209" s="304"/>
      <c r="E209" s="304"/>
      <c r="F209" s="304"/>
      <c r="G209" s="304"/>
      <c r="H209" s="304"/>
      <c r="I209" s="304"/>
      <c r="J209" s="304"/>
      <c r="K209" s="304"/>
      <c r="L209" s="304"/>
    </row>
    <row r="210" spans="1:12" x14ac:dyDescent="0.25">
      <c r="A210" s="304"/>
      <c r="B210" s="304"/>
      <c r="C210" s="304"/>
      <c r="D210" s="304"/>
      <c r="E210" s="304"/>
      <c r="F210" s="304"/>
      <c r="G210" s="304"/>
      <c r="H210" s="304"/>
      <c r="I210" s="304"/>
      <c r="J210" s="304"/>
      <c r="K210" s="304"/>
      <c r="L210" s="304"/>
    </row>
    <row r="211" spans="1:12" x14ac:dyDescent="0.25">
      <c r="A211" s="304"/>
      <c r="B211" s="304"/>
      <c r="C211" s="304"/>
      <c r="D211" s="304"/>
      <c r="E211" s="304"/>
      <c r="F211" s="304"/>
      <c r="G211" s="304"/>
      <c r="H211" s="304"/>
      <c r="I211" s="304"/>
      <c r="J211" s="304"/>
      <c r="K211" s="304"/>
      <c r="L211" s="304"/>
    </row>
    <row r="212" spans="1:12" x14ac:dyDescent="0.25">
      <c r="A212" s="304"/>
      <c r="B212" s="304"/>
      <c r="C212" s="304"/>
      <c r="D212" s="304"/>
      <c r="E212" s="304"/>
      <c r="F212" s="304"/>
      <c r="G212" s="304"/>
      <c r="H212" s="304"/>
      <c r="I212" s="304"/>
      <c r="J212" s="304"/>
      <c r="K212" s="304"/>
      <c r="L212" s="304"/>
    </row>
    <row r="213" spans="1:12" ht="20.25" x14ac:dyDescent="0.3">
      <c r="A213" s="335" t="s">
        <v>685</v>
      </c>
      <c r="B213" s="335"/>
      <c r="C213" s="335"/>
      <c r="D213" s="335"/>
      <c r="E213" s="335"/>
      <c r="F213" s="335"/>
      <c r="G213" s="335"/>
      <c r="H213" s="335"/>
      <c r="I213" s="335"/>
      <c r="J213" s="335"/>
      <c r="K213" s="335"/>
      <c r="L213" s="335"/>
    </row>
    <row r="214" spans="1:12" ht="16.5" thickBot="1" x14ac:dyDescent="0.3">
      <c r="A214" s="47"/>
      <c r="B214" s="47"/>
      <c r="C214" s="47"/>
      <c r="D214" s="47"/>
      <c r="E214" s="47"/>
      <c r="F214" s="47"/>
      <c r="G214" s="47"/>
      <c r="H214" s="47"/>
      <c r="I214" s="47"/>
      <c r="J214" s="47"/>
      <c r="K214" s="231"/>
      <c r="L214" s="47"/>
    </row>
    <row r="215" spans="1:12" x14ac:dyDescent="0.25">
      <c r="A215" s="339" t="s">
        <v>578</v>
      </c>
      <c r="B215" s="340"/>
      <c r="C215" s="340"/>
      <c r="D215" s="340"/>
      <c r="E215" s="341"/>
      <c r="F215" s="341"/>
      <c r="G215" s="341"/>
      <c r="H215" s="341"/>
      <c r="I215" s="342"/>
      <c r="J215" s="48"/>
      <c r="K215" s="231" t="s">
        <v>577</v>
      </c>
      <c r="L215" s="48"/>
    </row>
    <row r="216" spans="1:12" ht="18.75" x14ac:dyDescent="0.25">
      <c r="A216" s="232" t="s">
        <v>579</v>
      </c>
      <c r="B216" s="309" t="s">
        <v>580</v>
      </c>
      <c r="C216" s="309"/>
      <c r="D216" s="49" t="s">
        <v>26</v>
      </c>
      <c r="E216" s="49" t="s">
        <v>581</v>
      </c>
      <c r="F216" s="49" t="s">
        <v>582</v>
      </c>
      <c r="G216" s="49" t="s">
        <v>583</v>
      </c>
      <c r="H216" s="49" t="s">
        <v>582</v>
      </c>
      <c r="I216" s="233" t="s">
        <v>27</v>
      </c>
      <c r="J216" s="48"/>
      <c r="K216" s="231" t="s">
        <v>584</v>
      </c>
      <c r="L216" s="48"/>
    </row>
    <row r="217" spans="1:12" x14ac:dyDescent="0.25">
      <c r="A217" s="51">
        <v>6</v>
      </c>
      <c r="B217" s="320">
        <v>8</v>
      </c>
      <c r="C217" s="320"/>
      <c r="D217" s="234">
        <f>IF(A217=0," ",A217*PI()*(B217/2)^2/144)</f>
        <v>2.0943951023931953</v>
      </c>
      <c r="E217" s="56" t="s">
        <v>586</v>
      </c>
      <c r="F217" s="50">
        <f>IF(E217=0," ", IF(E217="1/2 mesh",1,IF(E217="1/4 mesh",1,IF(E217="1/8 mesh",1.25,IF(E217="1/16 mesh",2,0)))))</f>
        <v>1.25</v>
      </c>
      <c r="G217" s="56" t="s">
        <v>585</v>
      </c>
      <c r="H217" s="50">
        <f>IF(G217="Yes", 1,IF(G217="No",0," "))</f>
        <v>0</v>
      </c>
      <c r="I217" s="234">
        <f>IF(A217=0," ",D217/(F217+H217))</f>
        <v>1.6755160819145563</v>
      </c>
      <c r="J217" s="48"/>
      <c r="K217" s="231" t="s">
        <v>586</v>
      </c>
      <c r="L217" s="48"/>
    </row>
    <row r="218" spans="1:12" x14ac:dyDescent="0.25">
      <c r="A218" s="56" t="s">
        <v>915</v>
      </c>
      <c r="B218" s="319" t="s">
        <v>918</v>
      </c>
      <c r="C218" s="319"/>
      <c r="D218" s="234" t="e">
        <f>IF(A218=0," ",A218*PI()*(B218/2)^2/144)</f>
        <v>#VALUE!</v>
      </c>
      <c r="E218" s="56"/>
      <c r="F218" s="50" t="str">
        <f>IF(E218=0," ", IF(E218="1/2 mesh",1,IF(E218="1/4 mesh",1,IF(E218="1/8 mesh",1.25,IF(E218="1/16 mesh",2,0)))))</f>
        <v xml:space="preserve"> </v>
      </c>
      <c r="G218" s="56"/>
      <c r="H218" s="50"/>
      <c r="I218" s="234" t="e">
        <f>IF(A218=0," ",D218/(F218+H218))</f>
        <v>#VALUE!</v>
      </c>
      <c r="J218" s="48"/>
      <c r="K218" s="231"/>
      <c r="L218" s="48"/>
    </row>
    <row r="219" spans="1:12" x14ac:dyDescent="0.25">
      <c r="A219" s="56" t="s">
        <v>915</v>
      </c>
      <c r="B219" s="319" t="s">
        <v>915</v>
      </c>
      <c r="C219" s="319"/>
      <c r="D219" s="234" t="e">
        <f>IF(A219=0," ",A219*PI()*(B219/2)^2/144)</f>
        <v>#VALUE!</v>
      </c>
      <c r="E219" s="56"/>
      <c r="F219" s="50" t="str">
        <f>IF(E219=0," ", IF(E219="1/2 mesh",1,IF(E219="1/4 mesh",1,IF(E219="1/8 mesh",1.25,IF(E219="1/16 mesh",2,0)))))</f>
        <v xml:space="preserve"> </v>
      </c>
      <c r="G219" s="56"/>
      <c r="H219" s="50"/>
      <c r="I219" s="234" t="e">
        <f>IF(A219=0," ",D219/(F219+H219))</f>
        <v>#VALUE!</v>
      </c>
      <c r="J219" s="48"/>
      <c r="K219" s="231" t="s">
        <v>587</v>
      </c>
      <c r="L219" s="48"/>
    </row>
    <row r="220" spans="1:12" x14ac:dyDescent="0.25">
      <c r="A220" s="308" t="s">
        <v>590</v>
      </c>
      <c r="B220" s="309"/>
      <c r="C220" s="309"/>
      <c r="D220" s="309"/>
      <c r="E220" s="309"/>
      <c r="F220" s="309"/>
      <c r="G220" s="309"/>
      <c r="H220" s="309"/>
      <c r="I220" s="310"/>
      <c r="J220" s="235"/>
      <c r="K220" s="231" t="s">
        <v>589</v>
      </c>
      <c r="L220" s="48"/>
    </row>
    <row r="221" spans="1:12" ht="18.75" x14ac:dyDescent="0.25">
      <c r="A221" s="232" t="s">
        <v>579</v>
      </c>
      <c r="B221" s="49" t="s">
        <v>591</v>
      </c>
      <c r="C221" s="49" t="s">
        <v>592</v>
      </c>
      <c r="D221" s="49" t="s">
        <v>593</v>
      </c>
      <c r="E221" s="49" t="s">
        <v>581</v>
      </c>
      <c r="F221" s="49" t="s">
        <v>582</v>
      </c>
      <c r="G221" s="49" t="s">
        <v>583</v>
      </c>
      <c r="H221" s="49" t="s">
        <v>582</v>
      </c>
      <c r="I221" s="233" t="s">
        <v>27</v>
      </c>
      <c r="J221" s="48"/>
      <c r="K221" s="231" t="s">
        <v>585</v>
      </c>
      <c r="L221" s="48"/>
    </row>
    <row r="222" spans="1:12" x14ac:dyDescent="0.25">
      <c r="A222" s="51"/>
      <c r="B222" s="51"/>
      <c r="C222" s="51"/>
      <c r="D222" s="234" t="str">
        <f>IF(A222=0," ",A222*B222*C222/144)</f>
        <v xml:space="preserve"> </v>
      </c>
      <c r="E222" s="56" t="s">
        <v>586</v>
      </c>
      <c r="F222" s="50">
        <f>IF(E222=0," ", IF(E222="1/2 mesh",1,IF(E222="1/4 mesh",1,IF(E222="1/8 mesh",1.25,IF(E222="1/16 mesh",2,0)))))</f>
        <v>1.25</v>
      </c>
      <c r="G222" s="56" t="s">
        <v>585</v>
      </c>
      <c r="H222" s="50">
        <f>IF(G222="Yes", 1,IF(G222="No",0," "))</f>
        <v>0</v>
      </c>
      <c r="I222" s="234" t="str">
        <f>IF(A222=0," ",D222/(F222+H222))</f>
        <v xml:space="preserve"> </v>
      </c>
      <c r="J222" s="48"/>
      <c r="K222" s="236"/>
      <c r="L222" s="48"/>
    </row>
    <row r="223" spans="1:12" x14ac:dyDescent="0.25">
      <c r="A223" s="56"/>
      <c r="B223" s="56"/>
      <c r="C223" s="56"/>
      <c r="D223" s="234" t="str">
        <f>IF(A223=0," ",A223*B223*C223/144)</f>
        <v xml:space="preserve"> </v>
      </c>
      <c r="E223" s="56"/>
      <c r="F223" s="50" t="str">
        <f>IF(E223=0," ", IF(E223="1/2 mesh",1,IF(E223="1/4 mesh",1,IF(E223="1/8 mesh",1.25,IF(E223="1/16 mesh",2,0)))))</f>
        <v xml:space="preserve"> </v>
      </c>
      <c r="G223" s="56"/>
      <c r="H223" s="50" t="str">
        <f>IF(G223="Yes", 1,IF(G223="No",0," "))</f>
        <v xml:space="preserve"> </v>
      </c>
      <c r="I223" s="234" t="str">
        <f>IF(A223=0," ",D223/(F223+H223))</f>
        <v xml:space="preserve"> </v>
      </c>
      <c r="J223" s="48"/>
      <c r="K223" s="48"/>
      <c r="L223" s="48"/>
    </row>
    <row r="224" spans="1:12" x14ac:dyDescent="0.25">
      <c r="A224" s="56"/>
      <c r="B224" s="56"/>
      <c r="C224" s="56"/>
      <c r="D224" s="234" t="str">
        <f>IF(A224=0," ",A224*B224*C224/144)</f>
        <v xml:space="preserve"> </v>
      </c>
      <c r="E224" s="56"/>
      <c r="F224" s="50" t="str">
        <f>IF(E224=0," ", IF(E224="1/2 mesh",1,IF(E224="1/4 mesh",1,IF(E224="1/8 mesh",1.25,IF(E224="1/16 mesh",2,0)))))</f>
        <v xml:space="preserve"> </v>
      </c>
      <c r="G224" s="56"/>
      <c r="H224" s="50" t="str">
        <f>IF(G224="Yes", 1,IF(G224="No",0," "))</f>
        <v xml:space="preserve"> </v>
      </c>
      <c r="I224" s="234" t="str">
        <f>IF(A224=0," ",D224/(F224+H224))</f>
        <v xml:space="preserve"> </v>
      </c>
      <c r="J224" s="48"/>
      <c r="K224" s="48"/>
      <c r="L224" s="48"/>
    </row>
    <row r="225" spans="1:12" ht="16.5" thickBot="1" x14ac:dyDescent="0.3">
      <c r="A225" s="47"/>
      <c r="B225" s="47"/>
      <c r="C225" s="47"/>
      <c r="D225" s="47"/>
      <c r="E225" s="302" t="s">
        <v>594</v>
      </c>
      <c r="F225" s="303"/>
      <c r="G225" s="303"/>
      <c r="H225" s="237"/>
      <c r="I225" s="238" t="e">
        <f>(SUM(I217:I219)+SUM(I222:I224))</f>
        <v>#VALUE!</v>
      </c>
      <c r="J225" s="235"/>
      <c r="K225" s="48"/>
      <c r="L225" s="48"/>
    </row>
    <row r="226" spans="1:12" ht="16.5" thickBot="1" x14ac:dyDescent="0.3">
      <c r="A226" s="47"/>
      <c r="B226" s="47"/>
      <c r="C226" s="47"/>
      <c r="D226" s="47"/>
      <c r="E226" s="47"/>
      <c r="F226" s="47"/>
      <c r="G226" s="47"/>
      <c r="H226" s="47"/>
      <c r="I226" s="47"/>
      <c r="J226" s="235"/>
      <c r="K226" s="48"/>
      <c r="L226" s="48"/>
    </row>
    <row r="227" spans="1:12" x14ac:dyDescent="0.25">
      <c r="A227" s="321" t="s">
        <v>576</v>
      </c>
      <c r="B227" s="322"/>
      <c r="C227" s="322"/>
      <c r="D227" s="322"/>
      <c r="E227" s="323"/>
      <c r="F227" s="323"/>
      <c r="G227" s="323"/>
      <c r="H227" s="323"/>
      <c r="I227" s="324"/>
      <c r="J227" s="235"/>
      <c r="K227" s="48"/>
      <c r="L227" s="48"/>
    </row>
    <row r="228" spans="1:12" ht="18.75" x14ac:dyDescent="0.25">
      <c r="A228" s="232" t="s">
        <v>579</v>
      </c>
      <c r="B228" s="309" t="s">
        <v>580</v>
      </c>
      <c r="C228" s="309"/>
      <c r="D228" s="49" t="s">
        <v>26</v>
      </c>
      <c r="E228" s="49" t="s">
        <v>581</v>
      </c>
      <c r="F228" s="49" t="s">
        <v>582</v>
      </c>
      <c r="G228" s="49" t="s">
        <v>583</v>
      </c>
      <c r="H228" s="49" t="s">
        <v>582</v>
      </c>
      <c r="I228" s="233" t="s">
        <v>27</v>
      </c>
      <c r="J228" s="48"/>
      <c r="K228" s="48"/>
      <c r="L228" s="48"/>
    </row>
    <row r="229" spans="1:12" x14ac:dyDescent="0.25">
      <c r="A229" s="51" t="s">
        <v>915</v>
      </c>
      <c r="B229" s="320" t="s">
        <v>915</v>
      </c>
      <c r="C229" s="320"/>
      <c r="D229" s="234" t="e">
        <f>IF(A229=0," ",A229*PI()*(B229/2)^2/144)</f>
        <v>#VALUE!</v>
      </c>
      <c r="E229" s="56" t="s">
        <v>586</v>
      </c>
      <c r="F229" s="50">
        <f>IF(E229=0," ", IF(E229="1/2 mesh",1,IF(E229="1/4 mesh",1,IF(E229="1/8 mesh",1.25,IF(E229="1/16 mesh",2,0)))))</f>
        <v>1.25</v>
      </c>
      <c r="G229" s="56" t="s">
        <v>585</v>
      </c>
      <c r="H229" s="50">
        <f>IF(G229="Yes", 1,IF(G229="No",0," "))</f>
        <v>0</v>
      </c>
      <c r="I229" s="234" t="e">
        <f>IF(A229=0," ",D229/(F229+H229))</f>
        <v>#VALUE!</v>
      </c>
      <c r="J229" s="48"/>
      <c r="K229" s="304"/>
      <c r="L229" s="304"/>
    </row>
    <row r="230" spans="1:12" x14ac:dyDescent="0.25">
      <c r="A230" s="56"/>
      <c r="B230" s="319"/>
      <c r="C230" s="319"/>
      <c r="D230" s="234" t="str">
        <f>IF(A230=0," ",A230*PI()*(B230/2)^2/144)</f>
        <v xml:space="preserve"> </v>
      </c>
      <c r="E230" s="56"/>
      <c r="F230" s="50" t="str">
        <f>IF(E230=0," ", IF(E230="1/2 mesh",1,IF(E230="1/4 mesh",1,IF(E230="1/8 mesh",1.25,IF(E230="1/16 mesh",2,0)))))</f>
        <v xml:space="preserve"> </v>
      </c>
      <c r="G230" s="56"/>
      <c r="H230" s="50" t="str">
        <f>IF(G230="Yes", 1,IF(G230="No",0," "))</f>
        <v xml:space="preserve"> </v>
      </c>
      <c r="I230" s="234" t="str">
        <f>IF(A230=0," ",D230/(F230+H230))</f>
        <v xml:space="preserve"> </v>
      </c>
      <c r="J230" s="239"/>
      <c r="K230" s="330"/>
      <c r="L230" s="330"/>
    </row>
    <row r="231" spans="1:12" x14ac:dyDescent="0.25">
      <c r="A231" s="56"/>
      <c r="B231" s="319"/>
      <c r="C231" s="319"/>
      <c r="D231" s="234" t="str">
        <f>IF(A231=0," ",A231*PI()*(B231/2)^2/144)</f>
        <v xml:space="preserve"> </v>
      </c>
      <c r="E231" s="56"/>
      <c r="F231" s="50" t="str">
        <f>IF(E231=0," ", IF(E231="1/2 mesh",1,IF(E231="1/4 mesh",1,IF(E231="1/8 mesh",1.25,IF(E231="1/16 mesh",2,0)))))</f>
        <v xml:space="preserve"> </v>
      </c>
      <c r="G231" s="56"/>
      <c r="H231" s="50" t="str">
        <f>IF(G231="Yes", 1,IF(G231="No",0," "))</f>
        <v xml:space="preserve"> </v>
      </c>
      <c r="I231" s="234" t="str">
        <f>IF(A231=0," ",D231/(F231+H231))</f>
        <v xml:space="preserve"> </v>
      </c>
      <c r="J231" s="47"/>
      <c r="K231" s="47"/>
      <c r="L231" s="47"/>
    </row>
    <row r="232" spans="1:12" x14ac:dyDescent="0.25">
      <c r="A232" s="327" t="s">
        <v>588</v>
      </c>
      <c r="B232" s="328"/>
      <c r="C232" s="328"/>
      <c r="D232" s="328"/>
      <c r="E232" s="328"/>
      <c r="F232" s="328"/>
      <c r="G232" s="328"/>
      <c r="H232" s="328"/>
      <c r="I232" s="329"/>
      <c r="J232" s="47"/>
      <c r="K232" s="47"/>
      <c r="L232" s="47"/>
    </row>
    <row r="233" spans="1:12" ht="18.75" x14ac:dyDescent="0.25">
      <c r="A233" s="232" t="s">
        <v>579</v>
      </c>
      <c r="B233" s="49" t="s">
        <v>591</v>
      </c>
      <c r="C233" s="49" t="s">
        <v>592</v>
      </c>
      <c r="D233" s="49" t="s">
        <v>593</v>
      </c>
      <c r="E233" s="49" t="s">
        <v>581</v>
      </c>
      <c r="F233" s="49" t="s">
        <v>582</v>
      </c>
      <c r="G233" s="49" t="s">
        <v>583</v>
      </c>
      <c r="H233" s="49" t="s">
        <v>582</v>
      </c>
      <c r="I233" s="233" t="s">
        <v>27</v>
      </c>
      <c r="J233" s="47"/>
      <c r="K233" s="47"/>
      <c r="L233" s="47"/>
    </row>
    <row r="234" spans="1:12" x14ac:dyDescent="0.25">
      <c r="A234" s="51">
        <v>4</v>
      </c>
      <c r="B234" s="51">
        <v>4</v>
      </c>
      <c r="C234" s="51">
        <v>16</v>
      </c>
      <c r="D234" s="234">
        <f>IF(A234=0," ",A234*B234*C234/144)</f>
        <v>1.7777777777777777</v>
      </c>
      <c r="E234" s="56" t="s">
        <v>586</v>
      </c>
      <c r="F234" s="50">
        <f>IF(E234=0," ", IF(E234="1/2 mesh",1,IF(E234="1/4 mesh",1,IF(E234="1/8 mesh",1.25,IF(E234="1/16 mesh",2,0)))))</f>
        <v>1.25</v>
      </c>
      <c r="G234" s="56" t="s">
        <v>585</v>
      </c>
      <c r="H234" s="50">
        <f>IF(G234="Yes", 1,IF(G234="No",0," "))</f>
        <v>0</v>
      </c>
      <c r="I234" s="234">
        <f>IF(A234=0," ",D234/(F234+H234))</f>
        <v>1.4222222222222221</v>
      </c>
      <c r="J234" s="47"/>
      <c r="K234" s="47"/>
      <c r="L234" s="47"/>
    </row>
    <row r="235" spans="1:12" x14ac:dyDescent="0.25">
      <c r="A235" s="56" t="s">
        <v>915</v>
      </c>
      <c r="B235" s="56" t="s">
        <v>928</v>
      </c>
      <c r="C235" s="56"/>
      <c r="D235" s="234" t="e">
        <f>IF(A235=0," ",A235*B235*C235/144)</f>
        <v>#VALUE!</v>
      </c>
      <c r="E235" s="56"/>
      <c r="F235" s="50" t="str">
        <f>IF(E235=0," ", IF(E235="1/2 mesh",1,IF(E235="1/4 mesh",1,IF(E235="1/8 mesh",1.25,IF(E235="1/16 mesh",2,0)))))</f>
        <v xml:space="preserve"> </v>
      </c>
      <c r="G235" s="56"/>
      <c r="H235" s="50" t="str">
        <f>IF(G235="Yes", 1,IF(G235="No",0," "))</f>
        <v xml:space="preserve"> </v>
      </c>
      <c r="I235" s="234" t="e">
        <f>IF(A235=0," ",D235/(F235+H235))</f>
        <v>#VALUE!</v>
      </c>
      <c r="J235" s="47"/>
      <c r="K235" s="47"/>
      <c r="L235" s="47"/>
    </row>
    <row r="236" spans="1:12" x14ac:dyDescent="0.25">
      <c r="A236" s="56"/>
      <c r="B236" s="56"/>
      <c r="C236" s="56"/>
      <c r="D236" s="234" t="str">
        <f>IF(A236=0," ",A236*B236*C236/144)</f>
        <v xml:space="preserve"> </v>
      </c>
      <c r="E236" s="56"/>
      <c r="F236" s="50" t="str">
        <f>IF(E236=0," ", IF(E236="1/2 mesh",1,IF(E236="1/4 mesh",1,IF(E236="1/8 mesh",1.25,IF(E236="1/16 mesh",2,0)))))</f>
        <v xml:space="preserve"> </v>
      </c>
      <c r="G236" s="56"/>
      <c r="H236" s="50" t="str">
        <f>IF(G236="Yes", 1,IF(G236="No",0," "))</f>
        <v xml:space="preserve"> </v>
      </c>
      <c r="I236" s="234" t="str">
        <f>IF(A236=0," ",D236/(F236+H236))</f>
        <v xml:space="preserve"> </v>
      </c>
      <c r="J236" s="47"/>
      <c r="K236" s="47"/>
      <c r="L236" s="47"/>
    </row>
    <row r="237" spans="1:12" ht="16.5" thickBot="1" x14ac:dyDescent="0.3">
      <c r="A237" s="47"/>
      <c r="B237" s="47"/>
      <c r="C237" s="47"/>
      <c r="D237" s="47"/>
      <c r="E237" s="302" t="s">
        <v>594</v>
      </c>
      <c r="F237" s="303"/>
      <c r="G237" s="303"/>
      <c r="H237" s="237"/>
      <c r="I237" s="238" t="e">
        <f>(SUM(I229:I231)+SUM(I234:I236))</f>
        <v>#VALUE!</v>
      </c>
      <c r="J237" s="47"/>
      <c r="K237" s="47"/>
      <c r="L237" s="47"/>
    </row>
    <row r="238" spans="1:12" x14ac:dyDescent="0.25">
      <c r="A238" s="47"/>
      <c r="B238" s="47"/>
      <c r="C238" s="47"/>
      <c r="D238" s="47"/>
      <c r="E238" s="47"/>
      <c r="F238" s="47"/>
      <c r="G238" s="47"/>
      <c r="H238" s="47"/>
      <c r="I238" s="47"/>
      <c r="J238" s="47"/>
      <c r="K238" s="47"/>
      <c r="L238" s="47"/>
    </row>
    <row r="239" spans="1:12" x14ac:dyDescent="0.25">
      <c r="A239" s="299" t="s">
        <v>487</v>
      </c>
      <c r="B239" s="300"/>
      <c r="C239" s="300"/>
      <c r="D239" s="300"/>
      <c r="E239" s="300"/>
      <c r="F239" s="301"/>
      <c r="G239" s="311"/>
      <c r="H239" s="312"/>
      <c r="I239" s="312"/>
      <c r="J239" s="48"/>
      <c r="K239" s="48"/>
      <c r="L239" s="48"/>
    </row>
    <row r="240" spans="1:12" ht="19.5" thickBot="1" x14ac:dyDescent="0.3">
      <c r="A240" s="401" t="s">
        <v>28</v>
      </c>
      <c r="B240" s="401"/>
      <c r="C240" s="309" t="s">
        <v>596</v>
      </c>
      <c r="D240" s="309"/>
      <c r="E240" s="49" t="s">
        <v>595</v>
      </c>
      <c r="F240" s="87" t="s">
        <v>597</v>
      </c>
      <c r="G240" s="76"/>
      <c r="H240" s="44"/>
      <c r="I240" s="44"/>
      <c r="J240" s="47"/>
      <c r="K240" s="47"/>
      <c r="L240" s="47"/>
    </row>
    <row r="241" spans="1:15" ht="16.5" thickBot="1" x14ac:dyDescent="0.3">
      <c r="A241" s="397" t="s">
        <v>915</v>
      </c>
      <c r="B241" s="398"/>
      <c r="C241" s="399" t="e">
        <f>IF(A241=0," ", IF(I237=0,A241/150,A241/300))</f>
        <v>#VALUE!</v>
      </c>
      <c r="D241" s="332"/>
      <c r="E241" s="240" t="e">
        <f>I225+I237</f>
        <v>#VALUE!</v>
      </c>
      <c r="F241" s="241" t="e">
        <f>IF(A241=0, " ", IF(C241-E241&lt;0, "none", C241-E241))</f>
        <v>#VALUE!</v>
      </c>
      <c r="G241" s="242"/>
      <c r="H241" s="239"/>
      <c r="I241" s="239"/>
      <c r="J241" s="47"/>
      <c r="K241" s="47"/>
      <c r="L241" s="47"/>
    </row>
    <row r="242" spans="1:15" x14ac:dyDescent="0.25">
      <c r="A242" s="331"/>
      <c r="B242" s="331"/>
      <c r="C242" s="332"/>
      <c r="D242" s="332"/>
      <c r="E242" s="240"/>
      <c r="F242" s="240"/>
      <c r="G242" s="47"/>
      <c r="H242" s="47"/>
      <c r="I242" s="47"/>
      <c r="J242" s="47"/>
      <c r="K242" s="47"/>
      <c r="L242" s="47"/>
    </row>
    <row r="243" spans="1:15" x14ac:dyDescent="0.25">
      <c r="A243" s="319"/>
      <c r="B243" s="319"/>
      <c r="C243" s="332"/>
      <c r="D243" s="332"/>
      <c r="E243" s="240"/>
      <c r="F243" s="240"/>
      <c r="G243" s="47"/>
      <c r="H243" s="47"/>
      <c r="I243" s="47"/>
      <c r="J243" s="47"/>
      <c r="K243" s="47"/>
      <c r="L243" s="47"/>
    </row>
    <row r="244" spans="1:15" x14ac:dyDescent="0.25">
      <c r="A244" s="319"/>
      <c r="B244" s="319"/>
      <c r="C244" s="332"/>
      <c r="D244" s="332"/>
      <c r="E244" s="240"/>
      <c r="F244" s="240"/>
      <c r="G244" s="47"/>
      <c r="H244" s="47"/>
      <c r="I244" s="47"/>
      <c r="J244" s="47"/>
      <c r="K244" s="47"/>
      <c r="L244" s="47"/>
    </row>
    <row r="245" spans="1:15" x14ac:dyDescent="0.25">
      <c r="A245" s="295"/>
      <c r="B245" s="295"/>
      <c r="C245" s="295"/>
      <c r="D245" s="295"/>
      <c r="E245" s="47"/>
      <c r="F245" s="47"/>
      <c r="G245" s="47"/>
      <c r="H245" s="47"/>
      <c r="I245" s="47"/>
      <c r="J245" s="47"/>
      <c r="K245" s="47"/>
      <c r="L245" s="47"/>
    </row>
    <row r="246" spans="1:15" x14ac:dyDescent="0.25">
      <c r="A246" s="40"/>
      <c r="B246" s="40"/>
      <c r="C246" s="40"/>
      <c r="D246" s="40"/>
      <c r="E246" s="47"/>
      <c r="F246" s="47"/>
      <c r="G246" s="47"/>
      <c r="H246" s="47"/>
      <c r="I246" s="47"/>
      <c r="J246" s="47"/>
      <c r="K246" s="47"/>
      <c r="L246" s="47"/>
    </row>
    <row r="247" spans="1:15" x14ac:dyDescent="0.25">
      <c r="A247" s="40"/>
      <c r="B247" s="40"/>
      <c r="C247" s="40"/>
      <c r="D247" s="40"/>
      <c r="E247" s="47"/>
      <c r="F247" s="47"/>
      <c r="G247" s="47"/>
      <c r="H247" s="47"/>
      <c r="I247" s="47"/>
      <c r="J247" s="47"/>
      <c r="K247" s="47"/>
      <c r="L247" s="47"/>
    </row>
    <row r="248" spans="1:15" x14ac:dyDescent="0.25">
      <c r="A248" s="40"/>
      <c r="B248" s="40"/>
      <c r="C248" s="40"/>
      <c r="D248" s="40"/>
      <c r="E248" s="47"/>
      <c r="F248" s="47"/>
      <c r="G248" s="47"/>
      <c r="H248" s="47"/>
      <c r="I248" s="47"/>
      <c r="J248" s="47"/>
      <c r="K248" s="47"/>
      <c r="L248" s="47"/>
    </row>
    <row r="249" spans="1:15" x14ac:dyDescent="0.25">
      <c r="A249" s="40"/>
      <c r="B249" s="40"/>
      <c r="C249" s="40"/>
      <c r="D249" s="40"/>
      <c r="E249" s="47"/>
      <c r="F249" s="47"/>
      <c r="G249" s="47"/>
      <c r="H249" s="47"/>
      <c r="I249" s="47"/>
      <c r="J249" s="47"/>
      <c r="K249" s="47"/>
      <c r="L249" s="47"/>
    </row>
    <row r="250" spans="1:15" x14ac:dyDescent="0.25">
      <c r="A250" s="295"/>
      <c r="B250" s="295"/>
      <c r="C250" s="295"/>
      <c r="D250" s="295"/>
      <c r="M250" s="95"/>
    </row>
    <row r="251" spans="1:15" ht="30" customHeight="1" x14ac:dyDescent="0.3">
      <c r="A251" s="335" t="s">
        <v>44</v>
      </c>
      <c r="B251" s="335"/>
      <c r="C251" s="335"/>
      <c r="D251" s="335"/>
      <c r="E251" s="335"/>
      <c r="F251" s="335"/>
      <c r="G251" s="335"/>
      <c r="H251" s="335"/>
      <c r="I251" s="335"/>
      <c r="J251" s="335"/>
      <c r="K251" s="335"/>
      <c r="L251" s="335"/>
      <c r="M251" s="10"/>
      <c r="O251" s="243"/>
    </row>
    <row r="252" spans="1:15" ht="19.5" thickBot="1" x14ac:dyDescent="0.35">
      <c r="A252" s="294" t="s">
        <v>692</v>
      </c>
      <c r="B252" s="294"/>
      <c r="C252" s="244"/>
      <c r="D252" s="244"/>
      <c r="E252" s="244"/>
      <c r="F252" s="245"/>
      <c r="G252" s="244"/>
      <c r="H252" s="244"/>
      <c r="I252" s="244"/>
      <c r="J252" s="244"/>
      <c r="K252" s="244"/>
      <c r="L252" s="244"/>
      <c r="M252" s="244"/>
      <c r="O252" s="246"/>
    </row>
    <row r="253" spans="1:15" ht="16.5" thickBot="1" x14ac:dyDescent="0.3">
      <c r="A253" s="418" t="s">
        <v>224</v>
      </c>
      <c r="B253" s="418"/>
      <c r="C253" s="58" t="str">
        <f>F13</f>
        <v>PGE</v>
      </c>
      <c r="D253" s="247"/>
      <c r="E253" s="17" t="s">
        <v>228</v>
      </c>
      <c r="F253" s="18">
        <v>0.1</v>
      </c>
      <c r="G253" s="288"/>
      <c r="H253" s="289"/>
      <c r="I253" s="289"/>
      <c r="J253" s="289"/>
      <c r="K253" s="289"/>
      <c r="L253" s="289"/>
      <c r="M253" s="249"/>
      <c r="O253" s="250"/>
    </row>
    <row r="254" spans="1:15" ht="16.5" thickBot="1" x14ac:dyDescent="0.3">
      <c r="A254" s="284"/>
      <c r="B254" s="251" t="s">
        <v>211</v>
      </c>
      <c r="C254" s="251" t="s">
        <v>212</v>
      </c>
      <c r="D254" s="251" t="s">
        <v>213</v>
      </c>
      <c r="E254" s="251" t="s">
        <v>214</v>
      </c>
      <c r="F254" s="251" t="s">
        <v>215</v>
      </c>
      <c r="G254" s="251" t="s">
        <v>216</v>
      </c>
      <c r="H254" s="251" t="s">
        <v>217</v>
      </c>
      <c r="I254" s="251" t="s">
        <v>218</v>
      </c>
      <c r="J254" s="251" t="s">
        <v>219</v>
      </c>
      <c r="K254" s="251" t="s">
        <v>220</v>
      </c>
      <c r="L254" s="251" t="s">
        <v>221</v>
      </c>
      <c r="M254" s="251" t="s">
        <v>222</v>
      </c>
      <c r="O254" s="252"/>
    </row>
    <row r="255" spans="1:15" ht="16.5" thickBot="1" x14ac:dyDescent="0.3">
      <c r="A255" s="283" t="s">
        <v>39</v>
      </c>
      <c r="B255" s="253"/>
      <c r="C255" s="253"/>
      <c r="D255" s="253"/>
      <c r="E255" s="253"/>
      <c r="F255" s="253"/>
      <c r="G255" s="253"/>
      <c r="H255" s="253"/>
      <c r="I255" s="253"/>
      <c r="J255" s="253"/>
      <c r="K255" s="253"/>
      <c r="L255" s="253"/>
      <c r="M255" s="253"/>
      <c r="O255" s="252"/>
    </row>
    <row r="256" spans="1:15" x14ac:dyDescent="0.25">
      <c r="A256" s="278" t="s">
        <v>114</v>
      </c>
      <c r="B256" s="223">
        <f>B255*30</f>
        <v>0</v>
      </c>
      <c r="C256" s="223">
        <f t="shared" ref="C256:M256" si="2">C255*30</f>
        <v>0</v>
      </c>
      <c r="D256" s="223">
        <f t="shared" si="2"/>
        <v>0</v>
      </c>
      <c r="E256" s="223">
        <f t="shared" si="2"/>
        <v>0</v>
      </c>
      <c r="F256" s="223">
        <f t="shared" si="2"/>
        <v>0</v>
      </c>
      <c r="G256" s="223">
        <f t="shared" si="2"/>
        <v>0</v>
      </c>
      <c r="H256" s="223">
        <f t="shared" si="2"/>
        <v>0</v>
      </c>
      <c r="I256" s="223">
        <f t="shared" si="2"/>
        <v>0</v>
      </c>
      <c r="J256" s="223">
        <f t="shared" si="2"/>
        <v>0</v>
      </c>
      <c r="K256" s="223">
        <f t="shared" si="2"/>
        <v>0</v>
      </c>
      <c r="L256" s="223">
        <f t="shared" si="2"/>
        <v>0</v>
      </c>
      <c r="M256" s="223">
        <f t="shared" si="2"/>
        <v>0</v>
      </c>
      <c r="O256" s="252"/>
    </row>
    <row r="257" spans="1:15" x14ac:dyDescent="0.25">
      <c r="A257" s="278" t="s">
        <v>41</v>
      </c>
      <c r="B257" s="287">
        <f>$F$253*B256</f>
        <v>0</v>
      </c>
      <c r="C257" s="287">
        <f>$F$253*C256</f>
        <v>0</v>
      </c>
      <c r="D257" s="287">
        <f t="shared" ref="D257:M257" si="3">$F$253*D256</f>
        <v>0</v>
      </c>
      <c r="E257" s="287">
        <f t="shared" si="3"/>
        <v>0</v>
      </c>
      <c r="F257" s="287">
        <f t="shared" si="3"/>
        <v>0</v>
      </c>
      <c r="G257" s="287">
        <f t="shared" si="3"/>
        <v>0</v>
      </c>
      <c r="H257" s="287">
        <f t="shared" si="3"/>
        <v>0</v>
      </c>
      <c r="I257" s="287">
        <f t="shared" si="3"/>
        <v>0</v>
      </c>
      <c r="J257" s="287">
        <f t="shared" si="3"/>
        <v>0</v>
      </c>
      <c r="K257" s="287">
        <f t="shared" si="3"/>
        <v>0</v>
      </c>
      <c r="L257" s="287">
        <f t="shared" si="3"/>
        <v>0</v>
      </c>
      <c r="M257" s="287">
        <f t="shared" si="3"/>
        <v>0</v>
      </c>
      <c r="O257" s="252"/>
    </row>
    <row r="258" spans="1:15" x14ac:dyDescent="0.25">
      <c r="A258" s="313" t="s">
        <v>40</v>
      </c>
      <c r="B258" s="314"/>
      <c r="C258" s="280">
        <f>SUM(B256:M256)</f>
        <v>0</v>
      </c>
      <c r="D258" s="309" t="s">
        <v>42</v>
      </c>
      <c r="E258" s="309"/>
      <c r="F258" s="287">
        <f>SUM(B257:M257)</f>
        <v>0</v>
      </c>
      <c r="G258" s="290"/>
      <c r="H258" s="290"/>
      <c r="I258" s="290"/>
      <c r="J258" s="290"/>
      <c r="K258" s="290"/>
      <c r="L258" s="290"/>
      <c r="M258" s="285"/>
      <c r="O258" s="252"/>
    </row>
    <row r="259" spans="1:15" x14ac:dyDescent="0.25">
      <c r="A259" s="279"/>
      <c r="B259" s="281"/>
      <c r="C259" s="281"/>
      <c r="D259" s="281"/>
      <c r="E259" s="282"/>
      <c r="F259" s="282"/>
      <c r="G259" s="282"/>
      <c r="H259" s="282"/>
      <c r="I259" s="282"/>
      <c r="J259" s="282"/>
      <c r="K259" s="282"/>
      <c r="L259" s="282"/>
      <c r="M259" s="286"/>
      <c r="O259" s="252"/>
    </row>
    <row r="260" spans="1:15" ht="19.5" thickBot="1" x14ac:dyDescent="0.35">
      <c r="A260" s="294" t="s">
        <v>693</v>
      </c>
      <c r="B260" s="294"/>
      <c r="C260" s="244"/>
      <c r="D260" s="244"/>
      <c r="E260" s="244"/>
      <c r="F260" s="245"/>
      <c r="G260" s="244"/>
      <c r="H260" s="244"/>
      <c r="I260" s="244"/>
      <c r="J260" s="244"/>
      <c r="K260" s="244"/>
      <c r="L260" s="244"/>
      <c r="M260" s="244"/>
      <c r="O260" s="252"/>
    </row>
    <row r="261" spans="1:15" ht="16.5" thickBot="1" x14ac:dyDescent="0.3">
      <c r="A261" s="417" t="s">
        <v>226</v>
      </c>
      <c r="B261" s="417"/>
      <c r="C261" s="58" t="str">
        <f>F12</f>
        <v>NWN</v>
      </c>
      <c r="D261" s="247"/>
      <c r="E261" s="17" t="s">
        <v>227</v>
      </c>
      <c r="F261" s="19">
        <v>1.4</v>
      </c>
      <c r="G261" s="291"/>
      <c r="H261" s="289"/>
      <c r="I261" s="289"/>
      <c r="J261" s="289"/>
      <c r="K261" s="289"/>
      <c r="L261" s="289"/>
      <c r="M261" s="248"/>
      <c r="O261" s="252"/>
    </row>
    <row r="262" spans="1:15" ht="16.5" thickBot="1" x14ac:dyDescent="0.3">
      <c r="A262" s="284"/>
      <c r="B262" s="251" t="s">
        <v>212</v>
      </c>
      <c r="C262" s="251" t="s">
        <v>213</v>
      </c>
      <c r="D262" s="251" t="s">
        <v>214</v>
      </c>
      <c r="E262" s="251" t="s">
        <v>215</v>
      </c>
      <c r="F262" s="254" t="s">
        <v>216</v>
      </c>
      <c r="G262" s="251" t="s">
        <v>217</v>
      </c>
      <c r="H262" s="251" t="s">
        <v>218</v>
      </c>
      <c r="I262" s="251" t="s">
        <v>219</v>
      </c>
      <c r="J262" s="251" t="s">
        <v>220</v>
      </c>
      <c r="K262" s="251" t="s">
        <v>221</v>
      </c>
      <c r="L262" s="251" t="s">
        <v>222</v>
      </c>
      <c r="M262" s="251" t="s">
        <v>211</v>
      </c>
      <c r="O262" s="252"/>
    </row>
    <row r="263" spans="1:15" ht="16.5" thickBot="1" x14ac:dyDescent="0.3">
      <c r="A263" s="283" t="s">
        <v>39</v>
      </c>
      <c r="B263" s="253"/>
      <c r="C263" s="253"/>
      <c r="D263" s="253"/>
      <c r="E263" s="253"/>
      <c r="F263" s="253"/>
      <c r="G263" s="253"/>
      <c r="H263" s="253"/>
      <c r="I263" s="253"/>
      <c r="J263" s="253"/>
      <c r="K263" s="253"/>
      <c r="L263" s="253"/>
      <c r="M263" s="253"/>
      <c r="O263" s="252"/>
    </row>
    <row r="264" spans="1:15" x14ac:dyDescent="0.25">
      <c r="A264" s="278" t="s">
        <v>114</v>
      </c>
      <c r="B264" s="223">
        <f>B263*30</f>
        <v>0</v>
      </c>
      <c r="C264" s="223">
        <f t="shared" ref="C264:M264" si="4">C263*30</f>
        <v>0</v>
      </c>
      <c r="D264" s="223">
        <f t="shared" si="4"/>
        <v>0</v>
      </c>
      <c r="E264" s="223">
        <f t="shared" si="4"/>
        <v>0</v>
      </c>
      <c r="F264" s="223">
        <f t="shared" si="4"/>
        <v>0</v>
      </c>
      <c r="G264" s="223">
        <f t="shared" si="4"/>
        <v>0</v>
      </c>
      <c r="H264" s="223">
        <f t="shared" si="4"/>
        <v>0</v>
      </c>
      <c r="I264" s="223">
        <f t="shared" si="4"/>
        <v>0</v>
      </c>
      <c r="J264" s="223">
        <f t="shared" si="4"/>
        <v>0</v>
      </c>
      <c r="K264" s="223">
        <f t="shared" si="4"/>
        <v>0</v>
      </c>
      <c r="L264" s="223">
        <f t="shared" si="4"/>
        <v>0</v>
      </c>
      <c r="M264" s="223">
        <f t="shared" si="4"/>
        <v>0</v>
      </c>
    </row>
    <row r="265" spans="1:15" x14ac:dyDescent="0.25">
      <c r="A265" s="278" t="s">
        <v>41</v>
      </c>
      <c r="B265" s="287">
        <f>$F$261*B264</f>
        <v>0</v>
      </c>
      <c r="C265" s="287">
        <f t="shared" ref="C265:M265" si="5">$F$261*C264</f>
        <v>0</v>
      </c>
      <c r="D265" s="287">
        <f t="shared" si="5"/>
        <v>0</v>
      </c>
      <c r="E265" s="287">
        <f t="shared" si="5"/>
        <v>0</v>
      </c>
      <c r="F265" s="287">
        <f t="shared" si="5"/>
        <v>0</v>
      </c>
      <c r="G265" s="287">
        <f t="shared" si="5"/>
        <v>0</v>
      </c>
      <c r="H265" s="287">
        <f t="shared" si="5"/>
        <v>0</v>
      </c>
      <c r="I265" s="287">
        <f t="shared" si="5"/>
        <v>0</v>
      </c>
      <c r="J265" s="287">
        <f t="shared" si="5"/>
        <v>0</v>
      </c>
      <c r="K265" s="287">
        <f t="shared" si="5"/>
        <v>0</v>
      </c>
      <c r="L265" s="287">
        <f t="shared" si="5"/>
        <v>0</v>
      </c>
      <c r="M265" s="287">
        <f t="shared" si="5"/>
        <v>0</v>
      </c>
    </row>
    <row r="266" spans="1:15" x14ac:dyDescent="0.25">
      <c r="A266" s="313" t="s">
        <v>40</v>
      </c>
      <c r="B266" s="314"/>
      <c r="C266" s="280">
        <f>SUM(B264:M264)</f>
        <v>0</v>
      </c>
      <c r="D266" s="309" t="s">
        <v>42</v>
      </c>
      <c r="E266" s="309"/>
      <c r="F266" s="287">
        <f>SUM(B265:M265)</f>
        <v>0</v>
      </c>
      <c r="G266" s="290"/>
      <c r="H266" s="290"/>
      <c r="I266" s="290"/>
      <c r="J266" s="290"/>
      <c r="K266" s="290"/>
      <c r="L266" s="290"/>
      <c r="M266" s="285"/>
    </row>
    <row r="267" spans="1:15" x14ac:dyDescent="0.25">
      <c r="A267" s="279"/>
      <c r="B267" s="281"/>
      <c r="C267" s="281"/>
      <c r="D267" s="281"/>
      <c r="E267" s="282"/>
      <c r="F267" s="282"/>
      <c r="G267" s="282"/>
      <c r="H267" s="282"/>
      <c r="I267" s="282"/>
      <c r="J267" s="282"/>
      <c r="K267" s="282"/>
      <c r="L267" s="282"/>
      <c r="M267" s="282"/>
    </row>
    <row r="268" spans="1:15" x14ac:dyDescent="0.25">
      <c r="A268" s="279"/>
      <c r="B268" s="281"/>
      <c r="C268" s="281"/>
      <c r="D268" s="281"/>
      <c r="E268" s="282"/>
      <c r="F268" s="282"/>
      <c r="G268" s="282"/>
      <c r="H268" s="282"/>
      <c r="I268" s="282"/>
      <c r="J268" s="282"/>
      <c r="K268" s="282"/>
      <c r="L268" s="282"/>
      <c r="M268" s="282"/>
    </row>
    <row r="269" spans="1:15" x14ac:dyDescent="0.25">
      <c r="A269" s="279"/>
      <c r="B269" s="281"/>
      <c r="C269" s="281"/>
      <c r="D269" s="281"/>
      <c r="E269" s="282"/>
      <c r="F269" s="282"/>
      <c r="G269" s="282"/>
      <c r="H269" s="282"/>
      <c r="I269" s="282"/>
      <c r="J269" s="282"/>
      <c r="K269" s="282"/>
      <c r="L269" s="282"/>
      <c r="M269" s="282"/>
    </row>
    <row r="270" spans="1:15" ht="18.75" x14ac:dyDescent="0.3">
      <c r="A270" s="293" t="s">
        <v>197</v>
      </c>
      <c r="B270" s="293"/>
      <c r="C270" s="293"/>
      <c r="D270" s="293"/>
    </row>
    <row r="271" spans="1:15" x14ac:dyDescent="0.25">
      <c r="A271" s="334"/>
      <c r="B271" s="334"/>
      <c r="C271" s="334"/>
      <c r="D271" s="334"/>
    </row>
    <row r="272" spans="1:15" x14ac:dyDescent="0.25">
      <c r="A272" s="228" t="s">
        <v>812</v>
      </c>
      <c r="B272" s="228" t="s">
        <v>235</v>
      </c>
      <c r="C272" s="228" t="s">
        <v>725</v>
      </c>
      <c r="D272" s="228" t="s">
        <v>198</v>
      </c>
    </row>
    <row r="273" spans="1:4" x14ac:dyDescent="0.25">
      <c r="A273" s="58"/>
      <c r="B273" s="58"/>
      <c r="C273" s="58"/>
      <c r="D273" s="58"/>
    </row>
    <row r="274" spans="1:4" x14ac:dyDescent="0.25">
      <c r="A274" s="58"/>
      <c r="B274" s="58"/>
      <c r="C274" s="58"/>
      <c r="D274" s="58"/>
    </row>
    <row r="275" spans="1:4" x14ac:dyDescent="0.25">
      <c r="A275" s="58"/>
      <c r="B275" s="58"/>
      <c r="C275" s="58"/>
      <c r="D275" s="58"/>
    </row>
    <row r="276" spans="1:4" x14ac:dyDescent="0.25">
      <c r="A276" s="58"/>
      <c r="B276" s="58"/>
      <c r="C276" s="58"/>
      <c r="D276" s="58"/>
    </row>
    <row r="277" spans="1:4" x14ac:dyDescent="0.25">
      <c r="A277" s="58"/>
      <c r="B277" s="58"/>
      <c r="C277" s="58"/>
      <c r="D277" s="58"/>
    </row>
    <row r="278" spans="1:4" x14ac:dyDescent="0.25">
      <c r="A278" s="58"/>
      <c r="B278" s="58"/>
      <c r="C278" s="58"/>
      <c r="D278" s="58"/>
    </row>
    <row r="279" spans="1:4" x14ac:dyDescent="0.25">
      <c r="A279" s="58"/>
      <c r="B279" s="58"/>
      <c r="C279" s="58"/>
      <c r="D279" s="58"/>
    </row>
    <row r="280" spans="1:4" x14ac:dyDescent="0.25">
      <c r="A280" s="58"/>
      <c r="B280" s="58"/>
      <c r="C280" s="58"/>
      <c r="D280" s="58"/>
    </row>
    <row r="281" spans="1:4" x14ac:dyDescent="0.25">
      <c r="A281" s="58"/>
      <c r="B281" s="58"/>
      <c r="C281" s="58"/>
      <c r="D281" s="58"/>
    </row>
    <row r="282" spans="1:4" x14ac:dyDescent="0.25">
      <c r="A282" s="58"/>
      <c r="B282" s="58"/>
      <c r="C282" s="58"/>
      <c r="D282" s="58"/>
    </row>
    <row r="283" spans="1:4" x14ac:dyDescent="0.25">
      <c r="A283" s="58"/>
      <c r="B283" s="58"/>
      <c r="C283" s="58"/>
      <c r="D283" s="58"/>
    </row>
    <row r="284" spans="1:4" x14ac:dyDescent="0.25">
      <c r="A284" s="58"/>
      <c r="B284" s="58"/>
      <c r="C284" s="58"/>
      <c r="D284" s="58"/>
    </row>
    <row r="285" spans="1:4" x14ac:dyDescent="0.25">
      <c r="A285" s="58"/>
      <c r="B285" s="58"/>
      <c r="C285" s="58"/>
      <c r="D285" s="58"/>
    </row>
    <row r="286" spans="1:4" x14ac:dyDescent="0.25">
      <c r="A286" s="58"/>
      <c r="B286" s="58"/>
      <c r="C286" s="58"/>
      <c r="D286" s="58"/>
    </row>
    <row r="287" spans="1:4" x14ac:dyDescent="0.25">
      <c r="A287" s="58"/>
      <c r="B287" s="58"/>
      <c r="C287" s="58"/>
      <c r="D287" s="58"/>
    </row>
    <row r="288" spans="1:4" x14ac:dyDescent="0.25">
      <c r="A288" s="58"/>
      <c r="B288" s="58"/>
      <c r="C288" s="58"/>
      <c r="D288" s="58"/>
    </row>
    <row r="289" spans="1:4" x14ac:dyDescent="0.25">
      <c r="A289" s="58"/>
      <c r="B289" s="58"/>
      <c r="C289" s="58"/>
      <c r="D289" s="58"/>
    </row>
    <row r="290" spans="1:4" x14ac:dyDescent="0.25">
      <c r="A290" s="58"/>
      <c r="B290" s="58"/>
      <c r="C290" s="58"/>
      <c r="D290" s="58"/>
    </row>
  </sheetData>
  <sheetProtection sheet="1" objects="1" scenarios="1"/>
  <autoFilter ref="B183:B203"/>
  <mergeCells count="312">
    <mergeCell ref="A107:B107"/>
    <mergeCell ref="A147:L147"/>
    <mergeCell ref="E92:F92"/>
    <mergeCell ref="B134:D134"/>
    <mergeCell ref="J140:L140"/>
    <mergeCell ref="E135:G135"/>
    <mergeCell ref="H134:I134"/>
    <mergeCell ref="H135:I135"/>
    <mergeCell ref="K153:L153"/>
    <mergeCell ref="A112:B112"/>
    <mergeCell ref="C112:D112"/>
    <mergeCell ref="G106:K106"/>
    <mergeCell ref="E133:G133"/>
    <mergeCell ref="B133:D133"/>
    <mergeCell ref="H129:I129"/>
    <mergeCell ref="J133:K133"/>
    <mergeCell ref="J132:K132"/>
    <mergeCell ref="I113:L113"/>
    <mergeCell ref="B92:C92"/>
    <mergeCell ref="B94:C94"/>
    <mergeCell ref="E94:F94"/>
    <mergeCell ref="I92:L92"/>
    <mergeCell ref="G102:K102"/>
    <mergeCell ref="A98:L98"/>
    <mergeCell ref="G105:K105"/>
    <mergeCell ref="E81:F81"/>
    <mergeCell ref="E80:F80"/>
    <mergeCell ref="B80:C80"/>
    <mergeCell ref="E83:F83"/>
    <mergeCell ref="I91:L91"/>
    <mergeCell ref="I89:L89"/>
    <mergeCell ref="I82:L82"/>
    <mergeCell ref="B87:C87"/>
    <mergeCell ref="E91:F91"/>
    <mergeCell ref="I80:L80"/>
    <mergeCell ref="E88:F88"/>
    <mergeCell ref="I87:L87"/>
    <mergeCell ref="I81:L81"/>
    <mergeCell ref="I84:L84"/>
    <mergeCell ref="B90:C90"/>
    <mergeCell ref="E84:F84"/>
    <mergeCell ref="E89:F89"/>
    <mergeCell ref="B88:C88"/>
    <mergeCell ref="B89:C89"/>
    <mergeCell ref="E90:F90"/>
    <mergeCell ref="B91:C91"/>
    <mergeCell ref="I86:L86"/>
    <mergeCell ref="I88:L88"/>
    <mergeCell ref="B62:C62"/>
    <mergeCell ref="I66:L66"/>
    <mergeCell ref="J9:K9"/>
    <mergeCell ref="J10:K10"/>
    <mergeCell ref="J11:K11"/>
    <mergeCell ref="D26:D27"/>
    <mergeCell ref="H32:I32"/>
    <mergeCell ref="H22:H23"/>
    <mergeCell ref="C26:C27"/>
    <mergeCell ref="E26:E27"/>
    <mergeCell ref="J14:K14"/>
    <mergeCell ref="G15:H15"/>
    <mergeCell ref="G12:H12"/>
    <mergeCell ref="A39:B39"/>
    <mergeCell ref="J57:L57"/>
    <mergeCell ref="E60:F60"/>
    <mergeCell ref="H52:I52"/>
    <mergeCell ref="H53:I53"/>
    <mergeCell ref="H55:I55"/>
    <mergeCell ref="E61:F61"/>
    <mergeCell ref="D9:E9"/>
    <mergeCell ref="D10:E10"/>
    <mergeCell ref="D11:E11"/>
    <mergeCell ref="D12:E12"/>
    <mergeCell ref="A7:B7"/>
    <mergeCell ref="A50:A51"/>
    <mergeCell ref="A14:B14"/>
    <mergeCell ref="F26:F27"/>
    <mergeCell ref="A15:B15"/>
    <mergeCell ref="A16:B16"/>
    <mergeCell ref="D17:E17"/>
    <mergeCell ref="D15:E15"/>
    <mergeCell ref="A48:L48"/>
    <mergeCell ref="A8:B8"/>
    <mergeCell ref="A9:B9"/>
    <mergeCell ref="A11:B11"/>
    <mergeCell ref="A12:B12"/>
    <mergeCell ref="J42:K42"/>
    <mergeCell ref="A17:B17"/>
    <mergeCell ref="D14:E14"/>
    <mergeCell ref="A42:B42"/>
    <mergeCell ref="A19:L19"/>
    <mergeCell ref="H51:I51"/>
    <mergeCell ref="J7:K7"/>
    <mergeCell ref="A13:B13"/>
    <mergeCell ref="J50:L50"/>
    <mergeCell ref="D16:E16"/>
    <mergeCell ref="D8:E8"/>
    <mergeCell ref="B84:C84"/>
    <mergeCell ref="B82:C82"/>
    <mergeCell ref="E82:F82"/>
    <mergeCell ref="E70:F70"/>
    <mergeCell ref="B81:C81"/>
    <mergeCell ref="B85:C85"/>
    <mergeCell ref="E86:F86"/>
    <mergeCell ref="B69:C69"/>
    <mergeCell ref="B83:C83"/>
    <mergeCell ref="A261:B261"/>
    <mergeCell ref="K158:L158"/>
    <mergeCell ref="K163:L163"/>
    <mergeCell ref="A253:B253"/>
    <mergeCell ref="A161:L161"/>
    <mergeCell ref="K168:L168"/>
    <mergeCell ref="K166:L166"/>
    <mergeCell ref="K167:L167"/>
    <mergeCell ref="J183:L183"/>
    <mergeCell ref="J184:L184"/>
    <mergeCell ref="J185:L185"/>
    <mergeCell ref="J186:L186"/>
    <mergeCell ref="K177:L177"/>
    <mergeCell ref="K174:L174"/>
    <mergeCell ref="K178:L178"/>
    <mergeCell ref="K176:L176"/>
    <mergeCell ref="K173:L173"/>
    <mergeCell ref="K175:L175"/>
    <mergeCell ref="K165:L165"/>
    <mergeCell ref="A160:B160"/>
    <mergeCell ref="A180:E180"/>
    <mergeCell ref="A258:B258"/>
    <mergeCell ref="D258:E258"/>
    <mergeCell ref="A243:B243"/>
    <mergeCell ref="C243:D243"/>
    <mergeCell ref="G205:H205"/>
    <mergeCell ref="G104:K104"/>
    <mergeCell ref="B61:C61"/>
    <mergeCell ref="B60:C60"/>
    <mergeCell ref="E62:F62"/>
    <mergeCell ref="I67:L67"/>
    <mergeCell ref="B230:C230"/>
    <mergeCell ref="E64:F64"/>
    <mergeCell ref="E66:F66"/>
    <mergeCell ref="I71:L71"/>
    <mergeCell ref="B73:C73"/>
    <mergeCell ref="I65:L65"/>
    <mergeCell ref="I73:L73"/>
    <mergeCell ref="I79:L79"/>
    <mergeCell ref="A77:L77"/>
    <mergeCell ref="E73:F73"/>
    <mergeCell ref="I68:L68"/>
    <mergeCell ref="B66:C66"/>
    <mergeCell ref="E65:F65"/>
    <mergeCell ref="I72:L72"/>
    <mergeCell ref="B67:C67"/>
    <mergeCell ref="B137:G137"/>
    <mergeCell ref="E72:F72"/>
    <mergeCell ref="A170:B170"/>
    <mergeCell ref="A159:B159"/>
    <mergeCell ref="A169:B169"/>
    <mergeCell ref="A179:B179"/>
    <mergeCell ref="B138:G138"/>
    <mergeCell ref="B228:C228"/>
    <mergeCell ref="A241:B241"/>
    <mergeCell ref="C241:D241"/>
    <mergeCell ref="B217:C217"/>
    <mergeCell ref="A171:L171"/>
    <mergeCell ref="B218:C218"/>
    <mergeCell ref="K154:L154"/>
    <mergeCell ref="K155:L155"/>
    <mergeCell ref="K156:L156"/>
    <mergeCell ref="A240:B240"/>
    <mergeCell ref="A5:L5"/>
    <mergeCell ref="A26:A27"/>
    <mergeCell ref="B26:B27"/>
    <mergeCell ref="I22:I23"/>
    <mergeCell ref="G8:H8"/>
    <mergeCell ref="G9:H9"/>
    <mergeCell ref="G13:H13"/>
    <mergeCell ref="G7:H7"/>
    <mergeCell ref="E67:F67"/>
    <mergeCell ref="B64:C64"/>
    <mergeCell ref="G10:H10"/>
    <mergeCell ref="A21:A22"/>
    <mergeCell ref="A37:L37"/>
    <mergeCell ref="G11:H11"/>
    <mergeCell ref="D30:E30"/>
    <mergeCell ref="F30:G30"/>
    <mergeCell ref="G14:H14"/>
    <mergeCell ref="E63:F63"/>
    <mergeCell ref="J8:K8"/>
    <mergeCell ref="D7:E7"/>
    <mergeCell ref="A10:B10"/>
    <mergeCell ref="B55:G55"/>
    <mergeCell ref="H54:I54"/>
    <mergeCell ref="A58:L58"/>
    <mergeCell ref="B93:C93"/>
    <mergeCell ref="B71:C71"/>
    <mergeCell ref="I70:L70"/>
    <mergeCell ref="B65:C65"/>
    <mergeCell ref="E79:F79"/>
    <mergeCell ref="E71:F71"/>
    <mergeCell ref="B63:C63"/>
    <mergeCell ref="E69:F69"/>
    <mergeCell ref="E93:F93"/>
    <mergeCell ref="I69:L69"/>
    <mergeCell ref="B70:C70"/>
    <mergeCell ref="E87:F87"/>
    <mergeCell ref="I85:L85"/>
    <mergeCell ref="B74:C74"/>
    <mergeCell ref="B75:C75"/>
    <mergeCell ref="E74:F74"/>
    <mergeCell ref="E75:F75"/>
    <mergeCell ref="E68:F68"/>
    <mergeCell ref="I83:L83"/>
    <mergeCell ref="B86:C86"/>
    <mergeCell ref="B68:C68"/>
    <mergeCell ref="E85:F85"/>
    <mergeCell ref="B79:C79"/>
    <mergeCell ref="B72:C72"/>
    <mergeCell ref="G103:K103"/>
    <mergeCell ref="G101:K101"/>
    <mergeCell ref="M13:N13"/>
    <mergeCell ref="M7:N7"/>
    <mergeCell ref="M8:N8"/>
    <mergeCell ref="M9:N9"/>
    <mergeCell ref="M10:N10"/>
    <mergeCell ref="M11:N11"/>
    <mergeCell ref="M12:N12"/>
    <mergeCell ref="J39:K39"/>
    <mergeCell ref="G100:L100"/>
    <mergeCell ref="H57:I57"/>
    <mergeCell ref="G42:H42"/>
    <mergeCell ref="I90:L90"/>
    <mergeCell ref="G16:H16"/>
    <mergeCell ref="D13:E13"/>
    <mergeCell ref="H30:I30"/>
    <mergeCell ref="H31:I31"/>
    <mergeCell ref="A28:L28"/>
    <mergeCell ref="B30:C30"/>
    <mergeCell ref="J16:K16"/>
    <mergeCell ref="J15:K15"/>
    <mergeCell ref="J12:K12"/>
    <mergeCell ref="J13:K13"/>
    <mergeCell ref="A271:D271"/>
    <mergeCell ref="J204:L204"/>
    <mergeCell ref="A251:L251"/>
    <mergeCell ref="A244:B244"/>
    <mergeCell ref="C244:D244"/>
    <mergeCell ref="B135:D135"/>
    <mergeCell ref="J137:L137"/>
    <mergeCell ref="B219:C219"/>
    <mergeCell ref="A213:L213"/>
    <mergeCell ref="A215:I215"/>
    <mergeCell ref="J135:K135"/>
    <mergeCell ref="K164:L164"/>
    <mergeCell ref="K157:L157"/>
    <mergeCell ref="K150:L150"/>
    <mergeCell ref="K149:L149"/>
    <mergeCell ref="K152:L152"/>
    <mergeCell ref="K151:L151"/>
    <mergeCell ref="J194:L194"/>
    <mergeCell ref="J195:L195"/>
    <mergeCell ref="J138:L138"/>
    <mergeCell ref="J139:L139"/>
    <mergeCell ref="B139:G139"/>
    <mergeCell ref="B140:G140"/>
    <mergeCell ref="J193:L193"/>
    <mergeCell ref="A266:B266"/>
    <mergeCell ref="D266:E266"/>
    <mergeCell ref="E134:G134"/>
    <mergeCell ref="G108:K108"/>
    <mergeCell ref="A109:B109"/>
    <mergeCell ref="A111:B111"/>
    <mergeCell ref="G107:K107"/>
    <mergeCell ref="B231:C231"/>
    <mergeCell ref="E225:G225"/>
    <mergeCell ref="B229:C229"/>
    <mergeCell ref="A227:I227"/>
    <mergeCell ref="J205:L205"/>
    <mergeCell ref="J206:L206"/>
    <mergeCell ref="G206:H206"/>
    <mergeCell ref="J203:L203"/>
    <mergeCell ref="A232:I232"/>
    <mergeCell ref="K230:L230"/>
    <mergeCell ref="A242:B242"/>
    <mergeCell ref="C242:D242"/>
    <mergeCell ref="A207:E207"/>
    <mergeCell ref="B216:C216"/>
    <mergeCell ref="J201:L201"/>
    <mergeCell ref="A245:D245"/>
    <mergeCell ref="A250:D250"/>
    <mergeCell ref="A270:D270"/>
    <mergeCell ref="A252:B252"/>
    <mergeCell ref="A260:B260"/>
    <mergeCell ref="H130:I130"/>
    <mergeCell ref="J134:K134"/>
    <mergeCell ref="A239:F239"/>
    <mergeCell ref="E237:G237"/>
    <mergeCell ref="K229:L229"/>
    <mergeCell ref="A209:L212"/>
    <mergeCell ref="J192:L192"/>
    <mergeCell ref="J196:L196"/>
    <mergeCell ref="A220:I220"/>
    <mergeCell ref="J197:L197"/>
    <mergeCell ref="C240:D240"/>
    <mergeCell ref="G239:I239"/>
    <mergeCell ref="J187:L187"/>
    <mergeCell ref="J188:L188"/>
    <mergeCell ref="J189:L189"/>
    <mergeCell ref="J190:L190"/>
    <mergeCell ref="J191:L191"/>
    <mergeCell ref="J202:L202"/>
    <mergeCell ref="J198:L198"/>
    <mergeCell ref="J199:L199"/>
    <mergeCell ref="J200:L200"/>
  </mergeCells>
  <phoneticPr fontId="0" type="noConversion"/>
  <conditionalFormatting sqref="L12:L16">
    <cfRule type="cellIs" dxfId="51" priority="42" stopIfTrue="1" operator="equal">
      <formula>"yes"</formula>
    </cfRule>
  </conditionalFormatting>
  <conditionalFormatting sqref="J137:J140 C134:D136 D142 H117:H118 A140:A141 I114:I118 J114 J118 B141:C142 B134:B140 I61:L61 E134:G135 B135:D135">
    <cfRule type="cellIs" dxfId="50" priority="48" stopIfTrue="1" operator="equal">
      <formula>"none"</formula>
    </cfRule>
  </conditionalFormatting>
  <conditionalFormatting sqref="D109">
    <cfRule type="cellIs" dxfId="49" priority="49" stopIfTrue="1" operator="equal">
      <formula>"yes"</formula>
    </cfRule>
  </conditionalFormatting>
  <conditionalFormatting sqref="C121:D126">
    <cfRule type="cellIs" dxfId="48" priority="50" stopIfTrue="1" operator="equal">
      <formula>"Fail"</formula>
    </cfRule>
  </conditionalFormatting>
  <conditionalFormatting sqref="D129:D131">
    <cfRule type="cellIs" dxfId="47" priority="51" stopIfTrue="1" operator="equal">
      <formula>"no"</formula>
    </cfRule>
  </conditionalFormatting>
  <conditionalFormatting sqref="A55:A56">
    <cfRule type="cellIs" dxfId="46" priority="52" stopIfTrue="1" operator="equal">
      <formula>"supply"</formula>
    </cfRule>
    <cfRule type="cellIs" dxfId="45" priority="53" stopIfTrue="1" operator="equal">
      <formula>"return"</formula>
    </cfRule>
  </conditionalFormatting>
  <conditionalFormatting sqref="C109 L12:L16">
    <cfRule type="cellIs" dxfId="44" priority="54" stopIfTrue="1" operator="equal">
      <formula>"yes"</formula>
    </cfRule>
  </conditionalFormatting>
  <conditionalFormatting sqref="I62:L62 D170 B169:B170 F170 H170 J169:J170 L169:L170">
    <cfRule type="cellIs" dxfId="43" priority="55" stopIfTrue="1" operator="equal">
      <formula>"no"</formula>
    </cfRule>
  </conditionalFormatting>
  <conditionalFormatting sqref="C160 C170 C181">
    <cfRule type="cellIs" dxfId="42" priority="56" stopIfTrue="1" operator="greaterThan">
      <formula>0</formula>
    </cfRule>
  </conditionalFormatting>
  <conditionalFormatting sqref="G115:G117 G121:G126 G129:G131">
    <cfRule type="cellIs" dxfId="41" priority="57" stopIfTrue="1" operator="equal">
      <formula>"Fail"</formula>
    </cfRule>
  </conditionalFormatting>
  <conditionalFormatting sqref="F115:F117">
    <cfRule type="cellIs" dxfId="40" priority="58" stopIfTrue="1" operator="greaterThanOrEqual">
      <formula>35</formula>
    </cfRule>
  </conditionalFormatting>
  <conditionalFormatting sqref="F121:F126 E129:E131">
    <cfRule type="cellIs" dxfId="39" priority="59" stopIfTrue="1" operator="greaterThanOrEqual">
      <formula>100</formula>
    </cfRule>
  </conditionalFormatting>
  <conditionalFormatting sqref="F241:F244">
    <cfRule type="cellIs" dxfId="38" priority="60" stopIfTrue="1" operator="equal">
      <formula>"none"</formula>
    </cfRule>
    <cfRule type="cellIs" dxfId="37" priority="61" stopIfTrue="1" operator="greaterThan">
      <formula>0</formula>
    </cfRule>
  </conditionalFormatting>
  <conditionalFormatting sqref="B91:C91 B72:C72 E72:F72 E91:F91">
    <cfRule type="cellIs" dxfId="36" priority="62" stopIfTrue="1" operator="equal">
      <formula>"Disconnect"</formula>
    </cfRule>
    <cfRule type="cellIs" dxfId="35" priority="63" stopIfTrue="1" operator="equal">
      <formula>"Orphaned"</formula>
    </cfRule>
  </conditionalFormatting>
  <conditionalFormatting sqref="F184:F203 K95:L96 E95:I96 I184:I208 F207:F208 G185:H208 F184:G184 K207:L208 A184:E206 E208">
    <cfRule type="expression" dxfId="34" priority="38" stopIfTrue="1">
      <formula>(AND((MOD(ROW(),2)),$D$27&gt;0))</formula>
    </cfRule>
    <cfRule type="expression" dxfId="33" priority="39" stopIfTrue="1">
      <formula>(AND((MOD(ROW(),2)+1),$D$27&gt;0))</formula>
    </cfRule>
  </conditionalFormatting>
  <conditionalFormatting sqref="J95:J96">
    <cfRule type="cellIs" dxfId="32" priority="27" stopIfTrue="1" operator="greaterThan">
      <formula>$S95</formula>
    </cfRule>
    <cfRule type="expression" dxfId="31" priority="28" stopIfTrue="1">
      <formula>(AND((MOD(ROW(),2)),$D$27&gt;0))</formula>
    </cfRule>
    <cfRule type="expression" dxfId="30" priority="29" stopIfTrue="1">
      <formula>(AND((MOD(ROW(),2)+1),$D$27&gt;0))</formula>
    </cfRule>
  </conditionalFormatting>
  <conditionalFormatting sqref="J207:J208">
    <cfRule type="cellIs" dxfId="29" priority="64" stopIfTrue="1" operator="greaterThan">
      <formula>$S205</formula>
    </cfRule>
    <cfRule type="expression" dxfId="28" priority="65" stopIfTrue="1">
      <formula>(AND((MOD(ROW(),2)),$D$27&gt;0))</formula>
    </cfRule>
    <cfRule type="expression" dxfId="27" priority="66" stopIfTrue="1">
      <formula>(AND((MOD(ROW(),2)+1),$D$27&gt;0))</formula>
    </cfRule>
  </conditionalFormatting>
  <dataValidations count="67">
    <dataValidation type="list" allowBlank="1" showInputMessage="1" showErrorMessage="1" sqref="C273:C290 F174:F178 B68:C68 E68:F68 B85:C85 E85:F85 F150:F158 F164:F168">
      <formula1>quality2</formula1>
    </dataValidation>
    <dataValidation type="list" allowBlank="1" showInputMessage="1" showErrorMessage="1" sqref="A273:A290">
      <formula1>baseload</formula1>
    </dataValidation>
    <dataValidation type="list" allowBlank="1" showInputMessage="1" showErrorMessage="1" sqref="A263 A255">
      <formula1>usage</formula1>
    </dataValidation>
    <dataValidation type="list" allowBlank="1" showInputMessage="1" showErrorMessage="1" sqref="C253 F13">
      <formula1>Electricutility</formula1>
    </dataValidation>
    <dataValidation type="list" allowBlank="1" showInputMessage="1" showErrorMessage="1" sqref="C261 F12">
      <formula1>gasutility</formula1>
    </dataValidation>
    <dataValidation type="list" allowBlank="1" showInputMessage="1" showErrorMessage="1" sqref="G217:G219 G234:G236 G229:G231 G222:G224">
      <formula1>_ys1</formula1>
    </dataValidation>
    <dataValidation type="list" allowBlank="1" showInputMessage="1" showErrorMessage="1" sqref="E217:E219 E229:E231 E234:E236 E222:E224">
      <formula1>mesh1</formula1>
    </dataValidation>
    <dataValidation type="list" allowBlank="1" showInputMessage="1" showErrorMessage="1" sqref="D129:D131 H26 I62:L62 J169 C107 I15 L12:L16 H138 B134:D135 L169 K121:K126">
      <formula1>yesno1</formula1>
    </dataValidation>
    <dataValidation type="list" allowBlank="1" showInputMessage="1" showErrorMessage="1" sqref="C129:C131">
      <formula1>fuel</formula1>
    </dataValidation>
    <dataValidation type="list" allowBlank="1" showInputMessage="1" showErrorMessage="1" sqref="B129:B131 E134:G135">
      <formula1>location2</formula1>
    </dataValidation>
    <dataValidation type="list" allowBlank="1" showInputMessage="1" showErrorMessage="1" sqref="E115:E117">
      <formula1>cazlimit</formula1>
    </dataValidation>
    <dataValidation type="list" allowBlank="1" showInputMessage="1" showErrorMessage="1" sqref="B121:B126 B132">
      <formula1>location</formula1>
    </dataValidation>
    <dataValidation type="list" allowBlank="1" showInputMessage="1" showErrorMessage="1" sqref="C111">
      <formula1>gasleak</formula1>
    </dataValidation>
    <dataValidation type="list" allowBlank="1" showInputMessage="1" showErrorMessage="1" sqref="C121:D126 G129:G131 G115:G117 G121:G126 C109">
      <formula1>passfail</formula1>
    </dataValidation>
    <dataValidation type="list" allowBlank="1" showInputMessage="1" showErrorMessage="1" sqref="I95:I96">
      <formula1>$B$62:$B$71</formula1>
    </dataValidation>
    <dataValidation type="list" allowBlank="1" showInputMessage="1" showErrorMessage="1" sqref="L9 C13">
      <formula1>city</formula1>
    </dataValidation>
    <dataValidation type="list" allowBlank="1" showInputMessage="1" showErrorMessage="1" sqref="J51">
      <formula1>blasterring</formula1>
    </dataValidation>
    <dataValidation type="list" allowBlank="1" showInputMessage="1" showErrorMessage="1" sqref="F53:G54">
      <formula1>ductinsulate</formula1>
    </dataValidation>
    <dataValidation type="list" allowBlank="1" showInputMessage="1" showErrorMessage="1" sqref="A52">
      <formula1>ductdist2</formula1>
    </dataValidation>
    <dataValidation type="list" allowBlank="1" showInputMessage="1" showErrorMessage="1" sqref="I16">
      <formula1>fireplace3</formula1>
    </dataValidation>
    <dataValidation type="list" allowBlank="1" showInputMessage="1" showErrorMessage="1" sqref="I14 G184:G203">
      <formula1>Windows3</formula1>
    </dataValidation>
    <dataValidation type="list" allowBlank="1" showInputMessage="1" showErrorMessage="1" sqref="I13">
      <formula1>siding2</formula1>
    </dataValidation>
    <dataValidation type="list" allowBlank="1" showInputMessage="1" showErrorMessage="1" sqref="I11">
      <formula1>vents</formula1>
    </dataValidation>
    <dataValidation type="list" allowBlank="1" showInputMessage="1" showErrorMessage="1" sqref="I10">
      <formula1>construct</formula1>
    </dataValidation>
    <dataValidation type="list" allowBlank="1" showInputMessage="1" showErrorMessage="1" sqref="I9">
      <formula1>construct2</formula1>
    </dataValidation>
    <dataValidation type="list" allowBlank="1" showInputMessage="1" showErrorMessage="1" sqref="F14">
      <formula1>basement1</formula1>
    </dataValidation>
    <dataValidation type="list" allowBlank="1" showInputMessage="1" showErrorMessage="1" sqref="F15">
      <formula1>crawlspace2</formula1>
    </dataValidation>
    <dataValidation type="list" allowBlank="1" showInputMessage="1" showErrorMessage="1" sqref="B26:B27">
      <formula1>story</formula1>
    </dataValidation>
    <dataValidation type="list" allowBlank="1" showInputMessage="1" showErrorMessage="1" sqref="F10:F11">
      <formula1>buffer1</formula1>
    </dataValidation>
    <dataValidation type="list" allowBlank="1" showInputMessage="1" showErrorMessage="1" sqref="F9">
      <formula1>orientation</formula1>
    </dataValidation>
    <dataValidation type="list" allowBlank="1" showInputMessage="1" showErrorMessage="1" sqref="E39">
      <formula1>ring</formula1>
    </dataValidation>
    <dataValidation type="list" allowBlank="1" showInputMessage="1" showErrorMessage="1" sqref="D26 F26">
      <formula1>number</formula1>
    </dataValidation>
    <dataValidation type="list" allowBlank="1" showInputMessage="1" showErrorMessage="1" sqref="G164:G168 G174:G178 G150:G158">
      <formula1>oe</formula1>
    </dataValidation>
    <dataValidation type="list" allowBlank="1" showInputMessage="1" showErrorMessage="1" sqref="H164:H168 H174:H178 H150:H158">
      <formula1>cavity</formula1>
    </dataValidation>
    <dataValidation type="list" allowBlank="1" showInputMessage="1" showErrorMessage="1" sqref="B51:B54">
      <formula1>ductpart</formula1>
    </dataValidation>
    <dataValidation type="list" allowBlank="1" showInputMessage="1" showErrorMessage="1" sqref="C51:C54">
      <formula1>percent</formula1>
    </dataValidation>
    <dataValidation type="list" allowBlank="1" showInputMessage="1" showErrorMessage="1" sqref="E51:E54">
      <formula1>conditionspace</formula1>
    </dataValidation>
    <dataValidation type="list" allowBlank="1" showInputMessage="1" showErrorMessage="1" sqref="D53:D54">
      <formula1>ductlocation</formula1>
    </dataValidation>
    <dataValidation type="list" allowBlank="1" showInputMessage="1" showErrorMessage="1" sqref="C9">
      <formula1>energyadvisor2</formula1>
    </dataValidation>
    <dataValidation type="list" allowBlank="1" showInputMessage="1" showErrorMessage="1" sqref="C10">
      <formula1>Contractors3</formula1>
    </dataValidation>
    <dataValidation type="list" allowBlank="1" showInputMessage="1" showErrorMessage="1" sqref="C8">
      <formula1>URA</formula1>
    </dataValidation>
    <dataValidation type="list" allowBlank="1" showInputMessage="1" showErrorMessage="1" sqref="I12">
      <formula1>rooftype</formula1>
    </dataValidation>
    <dataValidation type="list" allowBlank="1" showInputMessage="1" showErrorMessage="1" sqref="F51:F52">
      <formula1>duct2</formula1>
    </dataValidation>
    <dataValidation type="list" allowBlank="1" showInputMessage="1" showErrorMessage="1" sqref="G51:G52">
      <formula1>duct3</formula1>
    </dataValidation>
    <dataValidation type="list" allowBlank="1" showInputMessage="1" showErrorMessage="1" sqref="B93:C93 E93:F93">
      <formula1>yesno</formula1>
    </dataValidation>
    <dataValidation type="list" allowBlank="1" showInputMessage="1" showErrorMessage="1" sqref="B184:B203">
      <formula1>nsew</formula1>
    </dataValidation>
    <dataValidation type="list" allowBlank="1" showInputMessage="1" showErrorMessage="1" sqref="F184:F203">
      <formula1>windowtype</formula1>
    </dataValidation>
    <dataValidation type="list" allowBlank="1" showInputMessage="1" showErrorMessage="1" sqref="F16">
      <formula1>attic3</formula1>
    </dataValidation>
    <dataValidation type="list" allowBlank="1" showInputMessage="1" showErrorMessage="1" sqref="D51:D52">
      <formula1>ductlocation2</formula1>
    </dataValidation>
    <dataValidation type="list" allowBlank="1" showInputMessage="1" showErrorMessage="1" sqref="A164:A168">
      <formula1>floor2</formula1>
    </dataValidation>
    <dataValidation type="list" allowBlank="1" showInputMessage="1" showErrorMessage="1" sqref="A174:A178">
      <formula1>walls2</formula1>
    </dataValidation>
    <dataValidation type="list" allowBlank="1" showInputMessage="1" showErrorMessage="1" sqref="B164:B168 B174:B178 J164:J168 J174:J178 J150:J158 B150:B158">
      <formula1>insulationtype2</formula1>
    </dataValidation>
    <dataValidation type="list" allowBlank="1" showInputMessage="1" showErrorMessage="1" sqref="E164:E168 E174:E178 E150:E158">
      <formula1>inches2</formula1>
    </dataValidation>
    <dataValidation type="list" allowBlank="1" showInputMessage="1" showErrorMessage="1" sqref="D164:D168 D174:D178 I164:I168 I174:I178 I150:I158 D150:D158">
      <formula1>rvalue2</formula1>
    </dataValidation>
    <dataValidation type="list" allowBlank="1" showInputMessage="1" showErrorMessage="1" sqref="B61:C61 E61:F61 B80:C80 E80:F80">
      <formula1>location4</formula1>
    </dataValidation>
    <dataValidation type="list" allowBlank="1" showInputMessage="1" showErrorMessage="1" sqref="B63:C63 E63:F63">
      <formula1>type2</formula1>
    </dataValidation>
    <dataValidation type="list" allowBlank="1" showInputMessage="1" showErrorMessage="1" sqref="B64:C64 E64:F64 B83:C83 E83:F83">
      <formula1>heat2</formula1>
    </dataValidation>
    <dataValidation type="list" allowBlank="1" showInputMessage="1" showErrorMessage="1" sqref="B72:C72 E72:F72 B91:C91 E91:F91">
      <formula1>flue2</formula1>
    </dataValidation>
    <dataValidation type="list" allowBlank="1" showInputMessage="1" showErrorMessage="1" sqref="B81:C81 E81:F81">
      <formula1>tank2</formula1>
    </dataValidation>
    <dataValidation type="list" allowBlank="1" showInputMessage="1" showErrorMessage="1" sqref="I61:L61">
      <formula1>location3</formula1>
    </dataValidation>
    <dataValidation type="list" allowBlank="1" showInputMessage="1" showErrorMessage="1" sqref="A53">
      <formula1>ducttype</formula1>
    </dataValidation>
    <dataValidation type="list" allowBlank="1" showInputMessage="1" showErrorMessage="1" sqref="A150:A158">
      <formula1>attic4</formula1>
    </dataValidation>
    <dataValidation type="list" allowBlank="1" showInputMessage="1" showErrorMessage="1" sqref="J55">
      <formula1>leaky3</formula1>
    </dataValidation>
    <dataValidation type="list" allowBlank="1" showInputMessage="1" showErrorMessage="1" sqref="L42">
      <formula1>leakiness</formula1>
    </dataValidation>
    <dataValidation type="list" allowBlank="1" showInputMessage="1" showErrorMessage="1" sqref="C42">
      <formula1>pressure</formula1>
    </dataValidation>
    <dataValidation type="list" allowBlank="1" showInputMessage="1" showErrorMessage="1" sqref="E42">
      <formula1>crf</formula1>
    </dataValidation>
    <dataValidation type="list" allowBlank="1" showInputMessage="1" showErrorMessage="1" sqref="J184:L206">
      <formula1>nonenergy1</formula1>
    </dataValidation>
  </dataValidations>
  <printOptions horizontalCentered="1" verticalCentered="1"/>
  <pageMargins left="0.16" right="0.08" top="1" bottom="1" header="0.5" footer="0.5"/>
  <headerFooter alignWithMargins="0"/>
  <rowBreaks count="5" manualBreakCount="5">
    <brk id="43" max="12" man="1"/>
    <brk id="94" max="12" man="1"/>
    <brk id="142" max="12" man="1"/>
    <brk id="207" max="12" man="1"/>
    <brk id="245" max="12" man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7"/>
  <sheetViews>
    <sheetView topLeftCell="A31" zoomScale="65" zoomScaleNormal="65" zoomScalePageLayoutView="65" workbookViewId="0">
      <selection activeCell="C13" sqref="C13:D13"/>
    </sheetView>
  </sheetViews>
  <sheetFormatPr defaultColWidth="8.85546875" defaultRowHeight="12.75" x14ac:dyDescent="0.2"/>
  <cols>
    <col min="1" max="1" width="28.42578125" style="8" customWidth="1"/>
    <col min="2" max="2" width="33.7109375" style="8" customWidth="1"/>
    <col min="3" max="3" width="22.42578125" style="8" customWidth="1"/>
    <col min="4" max="4" width="19.140625" style="8" customWidth="1"/>
    <col min="5" max="5" width="36.7109375" style="8" bestFit="1" customWidth="1"/>
    <col min="6" max="6" width="36.42578125" style="8" bestFit="1" customWidth="1"/>
    <col min="7" max="7" width="50.140625" style="8" bestFit="1" customWidth="1"/>
    <col min="8" max="16384" width="8.85546875" style="8"/>
  </cols>
  <sheetData>
    <row r="2" spans="2:6" ht="33" x14ac:dyDescent="0.45">
      <c r="C2" s="457" t="s">
        <v>304</v>
      </c>
      <c r="D2" s="457"/>
      <c r="E2" s="457"/>
      <c r="F2" s="457"/>
    </row>
    <row r="8" spans="2:6" ht="15.75" x14ac:dyDescent="0.25">
      <c r="B8" s="15"/>
      <c r="C8" s="15"/>
      <c r="D8" s="15"/>
      <c r="E8" s="15"/>
    </row>
    <row r="9" spans="2:6" ht="30" customHeight="1" x14ac:dyDescent="0.3">
      <c r="B9" s="30" t="s">
        <v>566</v>
      </c>
      <c r="C9" s="458">
        <f>IF('Test In'!C7=0, " ", 'Test In'!$C$7)</f>
        <v>40879</v>
      </c>
      <c r="D9" s="458"/>
      <c r="E9" s="30" t="s">
        <v>279</v>
      </c>
      <c r="F9" s="35">
        <f>'Test In'!F7</f>
        <v>1912</v>
      </c>
    </row>
    <row r="10" spans="2:6" ht="30" customHeight="1" x14ac:dyDescent="0.3">
      <c r="B10" s="30" t="s">
        <v>700</v>
      </c>
      <c r="C10" s="455"/>
      <c r="D10" s="455"/>
      <c r="E10" s="30" t="s">
        <v>102</v>
      </c>
      <c r="F10" s="33">
        <f>'Test In'!F22</f>
        <v>1100</v>
      </c>
    </row>
    <row r="11" spans="2:6" ht="30" customHeight="1" x14ac:dyDescent="0.3">
      <c r="B11" s="30" t="s">
        <v>515</v>
      </c>
      <c r="C11" s="455"/>
      <c r="D11" s="455"/>
      <c r="E11" s="30" t="s">
        <v>280</v>
      </c>
      <c r="F11" s="33" t="str">
        <f>'Test In'!B64</f>
        <v>Gas</v>
      </c>
    </row>
    <row r="12" spans="2:6" ht="30" customHeight="1" x14ac:dyDescent="0.3">
      <c r="B12" s="30" t="s">
        <v>516</v>
      </c>
      <c r="C12" s="33" t="str">
        <f>'Test In'!C13</f>
        <v>Portland</v>
      </c>
      <c r="D12" s="33">
        <f>'Test In'!C14</f>
        <v>97206</v>
      </c>
      <c r="E12" s="30"/>
      <c r="F12" s="29"/>
    </row>
    <row r="13" spans="2:6" ht="22.5" x14ac:dyDescent="0.3">
      <c r="B13" s="30" t="s">
        <v>141</v>
      </c>
      <c r="C13" s="455"/>
      <c r="D13" s="455"/>
      <c r="E13" s="30"/>
      <c r="F13" s="29"/>
    </row>
    <row r="14" spans="2:6" ht="22.5" x14ac:dyDescent="0.3">
      <c r="B14" s="30"/>
      <c r="C14" s="32"/>
      <c r="D14" s="31"/>
      <c r="E14" s="30"/>
      <c r="F14" s="29"/>
    </row>
    <row r="15" spans="2:6" ht="30" customHeight="1" x14ac:dyDescent="0.3">
      <c r="B15" s="30" t="s">
        <v>514</v>
      </c>
      <c r="C15" s="459" t="str">
        <f>'Test In'!C10</f>
        <v>GreenSavers</v>
      </c>
      <c r="D15" s="459"/>
      <c r="E15" s="30" t="s">
        <v>234</v>
      </c>
      <c r="F15" s="35" t="str">
        <f>'Test In'!F12</f>
        <v>NWN</v>
      </c>
    </row>
    <row r="16" spans="2:6" ht="30" customHeight="1" x14ac:dyDescent="0.3">
      <c r="B16" s="30" t="s">
        <v>515</v>
      </c>
      <c r="C16" s="455" t="str">
        <f>'Test In'!L8</f>
        <v>3637 NE Sandy Blvd.</v>
      </c>
      <c r="D16" s="455"/>
      <c r="E16" s="30" t="s">
        <v>233</v>
      </c>
      <c r="F16" s="33" t="str">
        <f>'Test In'!F13</f>
        <v>PGE</v>
      </c>
    </row>
    <row r="17" spans="1:7" ht="30" customHeight="1" x14ac:dyDescent="0.3">
      <c r="B17" s="30" t="s">
        <v>516</v>
      </c>
      <c r="C17" s="33" t="str">
        <f>'Test In'!L9</f>
        <v>Portland</v>
      </c>
      <c r="D17" s="34" t="str">
        <f>'Test In'!L10</f>
        <v>97232</v>
      </c>
      <c r="E17" s="22"/>
      <c r="F17" s="23"/>
    </row>
    <row r="18" spans="1:7" ht="30" customHeight="1" x14ac:dyDescent="0.3">
      <c r="B18" s="30" t="s">
        <v>122</v>
      </c>
      <c r="C18" s="460" t="str">
        <f>'Test In'!L11</f>
        <v>503.223.8767</v>
      </c>
      <c r="D18" s="460"/>
      <c r="E18" s="22"/>
      <c r="F18" s="13"/>
    </row>
    <row r="19" spans="1:7" ht="30" customHeight="1" x14ac:dyDescent="0.3">
      <c r="B19" s="30" t="s">
        <v>269</v>
      </c>
      <c r="C19" s="455" t="str">
        <f>'Test In'!L7</f>
        <v>David Fittipaldi</v>
      </c>
      <c r="D19" s="455"/>
      <c r="E19" s="22"/>
      <c r="F19" s="13"/>
    </row>
    <row r="20" spans="1:7" ht="30" customHeight="1" x14ac:dyDescent="0.3">
      <c r="B20" s="271"/>
      <c r="C20" s="456"/>
      <c r="D20" s="456"/>
      <c r="E20" s="22"/>
      <c r="F20" s="23"/>
    </row>
    <row r="21" spans="1:7" ht="22.5" x14ac:dyDescent="0.3">
      <c r="B21" s="30"/>
      <c r="C21" s="31"/>
      <c r="D21" s="31"/>
      <c r="E21" s="22"/>
      <c r="F21" s="23"/>
    </row>
    <row r="22" spans="1:7" ht="30" customHeight="1" x14ac:dyDescent="0.3">
      <c r="B22" s="30" t="s">
        <v>427</v>
      </c>
      <c r="C22" s="459" t="str">
        <f>'Test In'!C9</f>
        <v>Ted Weintrout</v>
      </c>
      <c r="D22" s="459"/>
      <c r="E22" s="22"/>
      <c r="F22" s="13"/>
    </row>
    <row r="23" spans="1:7" ht="20.25" x14ac:dyDescent="0.3">
      <c r="B23" s="22"/>
      <c r="C23" s="14"/>
      <c r="D23" s="13"/>
      <c r="E23" s="13"/>
    </row>
    <row r="24" spans="1:7" ht="20.25" x14ac:dyDescent="0.3">
      <c r="B24" s="22"/>
      <c r="C24" s="14"/>
      <c r="D24" s="22"/>
      <c r="E24" s="13"/>
    </row>
    <row r="25" spans="1:7" ht="20.25" x14ac:dyDescent="0.3">
      <c r="B25" s="22"/>
      <c r="C25" s="14"/>
      <c r="D25" s="22"/>
      <c r="E25" s="13"/>
    </row>
    <row r="26" spans="1:7" ht="15.75" x14ac:dyDescent="0.25">
      <c r="B26" s="15"/>
      <c r="C26" s="15"/>
      <c r="D26" s="15"/>
      <c r="E26" s="15"/>
    </row>
    <row r="27" spans="1:7" ht="25.5" x14ac:dyDescent="0.35">
      <c r="A27" s="462" t="s">
        <v>229</v>
      </c>
      <c r="B27" s="462"/>
      <c r="C27" s="464" t="s">
        <v>251</v>
      </c>
      <c r="D27" s="464"/>
      <c r="E27" s="464"/>
      <c r="F27" s="25" t="s">
        <v>252</v>
      </c>
      <c r="G27" s="25" t="s">
        <v>245</v>
      </c>
    </row>
    <row r="28" spans="1:7" ht="40.5" customHeight="1" x14ac:dyDescent="0.35">
      <c r="A28" s="463" t="s">
        <v>248</v>
      </c>
      <c r="B28" s="463"/>
      <c r="C28" s="465" t="str">
        <f>'Test In'!B150</f>
        <v>None</v>
      </c>
      <c r="D28" s="465"/>
      <c r="E28" s="465"/>
      <c r="F28" s="26">
        <f>'Test In'!D150</f>
        <v>0</v>
      </c>
      <c r="G28" s="46" t="s">
        <v>18</v>
      </c>
    </row>
    <row r="29" spans="1:7" ht="40.5" customHeight="1" x14ac:dyDescent="0.35">
      <c r="A29" s="463" t="s">
        <v>368</v>
      </c>
      <c r="B29" s="463"/>
      <c r="C29" s="465" t="str">
        <f>'Test In'!B174</f>
        <v>None</v>
      </c>
      <c r="D29" s="465"/>
      <c r="E29" s="465"/>
      <c r="F29" s="26">
        <f>'Test In'!D174</f>
        <v>0</v>
      </c>
      <c r="G29" s="26" t="s">
        <v>137</v>
      </c>
    </row>
    <row r="30" spans="1:7" ht="40.5" customHeight="1" x14ac:dyDescent="0.35">
      <c r="A30" s="463" t="s">
        <v>249</v>
      </c>
      <c r="B30" s="463"/>
      <c r="C30" s="465" t="str">
        <f>'Test In'!B164</f>
        <v>Fiberglass Batt</v>
      </c>
      <c r="D30" s="465"/>
      <c r="E30" s="465"/>
      <c r="F30" s="26">
        <f>'Test In'!D164</f>
        <v>6</v>
      </c>
      <c r="G30" s="26" t="s">
        <v>309</v>
      </c>
    </row>
    <row r="31" spans="1:7" ht="40.5" customHeight="1" x14ac:dyDescent="0.35">
      <c r="A31" s="463" t="s">
        <v>250</v>
      </c>
      <c r="B31" s="463"/>
      <c r="C31" s="465">
        <f>'Test In'!G51</f>
        <v>0</v>
      </c>
      <c r="D31" s="465"/>
      <c r="E31" s="465"/>
      <c r="F31" s="26">
        <f>'Test In'!F51</f>
        <v>0</v>
      </c>
      <c r="G31" s="26" t="s">
        <v>253</v>
      </c>
    </row>
    <row r="32" spans="1:7" ht="40.5" customHeight="1" x14ac:dyDescent="0.5">
      <c r="A32" s="463" t="s">
        <v>139</v>
      </c>
      <c r="B32" s="463"/>
      <c r="C32" s="465">
        <f>'Test In'!A53</f>
        <v>0</v>
      </c>
      <c r="D32" s="465"/>
      <c r="E32" s="465"/>
      <c r="F32" s="27" t="str">
        <f>'Test In'!J54</f>
        <v xml:space="preserve"> </v>
      </c>
      <c r="G32" s="28">
        <f>'Test In'!L53</f>
        <v>110</v>
      </c>
    </row>
    <row r="33" spans="1:7" ht="40.5" customHeight="1" x14ac:dyDescent="0.5">
      <c r="A33" s="463" t="s">
        <v>140</v>
      </c>
      <c r="B33" s="463"/>
      <c r="C33" s="465" t="str">
        <f>IF('Test In'!L42=0," ",'Test In'!L42)</f>
        <v xml:space="preserve"> </v>
      </c>
      <c r="D33" s="465"/>
      <c r="E33" s="465"/>
      <c r="F33" s="27">
        <f>'Test In'!I39</f>
        <v>6500</v>
      </c>
      <c r="G33" s="28">
        <f>'Test In'!F35</f>
        <v>952.67083333333346</v>
      </c>
    </row>
    <row r="34" spans="1:7" ht="40.5" customHeight="1" x14ac:dyDescent="0.35">
      <c r="A34" s="463" t="s">
        <v>827</v>
      </c>
      <c r="B34" s="463"/>
      <c r="C34" s="465" t="str">
        <f>'Test In'!I14</f>
        <v>Single Wood</v>
      </c>
      <c r="D34" s="465"/>
      <c r="E34" s="465"/>
      <c r="F34" s="24" t="str">
        <f>IF(C34=0," ",(VLOOKUP(C34,Lists!J1:K8,2,FALSE)))</f>
        <v>U=0.90</v>
      </c>
      <c r="G34" s="26" t="s">
        <v>296</v>
      </c>
    </row>
    <row r="35" spans="1:7" ht="40.5" customHeight="1" x14ac:dyDescent="0.35">
      <c r="A35" s="463" t="s">
        <v>230</v>
      </c>
      <c r="B35" s="463"/>
      <c r="C35" s="24">
        <f>'Test In'!B67</f>
        <v>1974</v>
      </c>
      <c r="D35" s="26" t="str">
        <f>'Test In'!B64</f>
        <v>Gas</v>
      </c>
      <c r="E35" s="26" t="str">
        <f>'Test In'!B63</f>
        <v>Atmospheric pilot</v>
      </c>
      <c r="F35" s="26">
        <f>'Test In'!B71</f>
        <v>0</v>
      </c>
      <c r="G35" s="26" t="s">
        <v>138</v>
      </c>
    </row>
    <row r="36" spans="1:7" ht="40.5" customHeight="1" x14ac:dyDescent="0.35">
      <c r="A36" s="463" t="s">
        <v>231</v>
      </c>
      <c r="B36" s="463"/>
      <c r="C36" s="24">
        <f>'Test In'!B84</f>
        <v>2006</v>
      </c>
      <c r="D36" s="26" t="str">
        <f>'Test In'!B83</f>
        <v>Gas</v>
      </c>
      <c r="E36" s="26" t="str">
        <f>'Test In'!B81</f>
        <v>Tank</v>
      </c>
      <c r="F36" s="26">
        <f>'Test In'!B90</f>
        <v>0</v>
      </c>
      <c r="G36" s="26" t="s">
        <v>247</v>
      </c>
    </row>
    <row r="37" spans="1:7" ht="40.5" customHeight="1" x14ac:dyDescent="0.35">
      <c r="A37" s="463" t="s">
        <v>232</v>
      </c>
      <c r="B37" s="463"/>
      <c r="C37" s="21"/>
      <c r="D37" s="461"/>
      <c r="E37" s="461"/>
      <c r="F37" s="461"/>
    </row>
  </sheetData>
  <mergeCells count="31">
    <mergeCell ref="C30:E30"/>
    <mergeCell ref="C31:E31"/>
    <mergeCell ref="C32:E32"/>
    <mergeCell ref="C33:E33"/>
    <mergeCell ref="C34:E34"/>
    <mergeCell ref="C22:D22"/>
    <mergeCell ref="D37:F37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C27:E27"/>
    <mergeCell ref="C28:E28"/>
    <mergeCell ref="C29:E29"/>
    <mergeCell ref="C10:D10"/>
    <mergeCell ref="C11:D11"/>
    <mergeCell ref="C16:D16"/>
    <mergeCell ref="C20:D20"/>
    <mergeCell ref="C2:F2"/>
    <mergeCell ref="C9:D9"/>
    <mergeCell ref="C15:D15"/>
    <mergeCell ref="C18:D18"/>
    <mergeCell ref="C19:D19"/>
    <mergeCell ref="C13:D13"/>
  </mergeCells>
  <pageMargins left="0.7" right="0.7" top="0.75" bottom="0.75" header="0.3" footer="0.3"/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/>
  <dimension ref="A1:AV111"/>
  <sheetViews>
    <sheetView topLeftCell="K57" zoomScaleSheetLayoutView="50" workbookViewId="0">
      <selection activeCell="K1" sqref="A1:XFD56"/>
    </sheetView>
  </sheetViews>
  <sheetFormatPr defaultColWidth="8.85546875" defaultRowHeight="12.75" x14ac:dyDescent="0.2"/>
  <cols>
    <col min="1" max="1" width="21.140625" style="3" customWidth="1"/>
    <col min="2" max="2" width="9.28515625" style="3" customWidth="1"/>
    <col min="3" max="3" width="8.85546875" style="3"/>
    <col min="4" max="4" width="9.85546875" style="3" customWidth="1"/>
    <col min="5" max="6" width="10.42578125" style="3" customWidth="1"/>
    <col min="7" max="7" width="39" style="3" bestFit="1" customWidth="1"/>
    <col min="8" max="8" width="13" style="3" customWidth="1"/>
    <col min="9" max="9" width="8.85546875" style="3"/>
    <col min="10" max="10" width="20.85546875" style="3" bestFit="1" customWidth="1"/>
    <col min="11" max="11" width="20.85546875" style="3" customWidth="1"/>
    <col min="12" max="15" width="8.85546875" style="3"/>
    <col min="16" max="17" width="12.7109375" style="3" bestFit="1" customWidth="1"/>
    <col min="18" max="20" width="8.85546875" style="3"/>
    <col min="21" max="21" width="10.28515625" style="3" bestFit="1" customWidth="1"/>
    <col min="22" max="23" width="8.85546875" style="3"/>
    <col min="24" max="24" width="10.42578125" style="3" bestFit="1" customWidth="1"/>
    <col min="25" max="25" width="15.28515625" style="3" bestFit="1" customWidth="1"/>
    <col min="26" max="26" width="13.42578125" style="3" bestFit="1" customWidth="1"/>
    <col min="27" max="29" width="8.85546875" style="3"/>
    <col min="30" max="30" width="21.140625" style="3" bestFit="1" customWidth="1"/>
    <col min="31" max="31" width="8.85546875" style="3"/>
    <col min="32" max="32" width="11.42578125" style="3" bestFit="1" customWidth="1"/>
    <col min="33" max="33" width="11.140625" style="3" bestFit="1" customWidth="1"/>
    <col min="34" max="34" width="8.85546875" style="3"/>
    <col min="35" max="35" width="9.85546875" style="3" customWidth="1"/>
    <col min="36" max="36" width="16.7109375" style="3" bestFit="1" customWidth="1"/>
    <col min="37" max="37" width="16" style="3" bestFit="1" customWidth="1"/>
    <col min="38" max="38" width="13.42578125" style="3" bestFit="1" customWidth="1"/>
    <col min="39" max="39" width="8.85546875" style="3"/>
    <col min="40" max="40" width="9.42578125" style="3" bestFit="1" customWidth="1"/>
    <col min="41" max="41" width="10.42578125" style="3" customWidth="1"/>
    <col min="42" max="42" width="12" style="3" bestFit="1" customWidth="1"/>
    <col min="43" max="43" width="8.85546875" style="3"/>
    <col min="44" max="44" width="19" style="3" bestFit="1" customWidth="1"/>
    <col min="45" max="45" width="15" style="3" bestFit="1" customWidth="1"/>
    <col min="46" max="46" width="8.85546875" style="3"/>
    <col min="47" max="47" width="11" style="3" customWidth="1"/>
    <col min="48" max="48" width="13.140625" style="3" bestFit="1" customWidth="1"/>
    <col min="49" max="16384" width="8.85546875" style="3"/>
  </cols>
  <sheetData>
    <row r="1" spans="1:48" hidden="1" x14ac:dyDescent="0.2">
      <c r="A1" s="6" t="s">
        <v>630</v>
      </c>
      <c r="C1" s="3" t="s">
        <v>714</v>
      </c>
      <c r="D1" s="4" t="s">
        <v>716</v>
      </c>
      <c r="E1" s="6" t="s">
        <v>630</v>
      </c>
      <c r="F1" s="6" t="s">
        <v>630</v>
      </c>
      <c r="G1" s="3" t="s">
        <v>693</v>
      </c>
      <c r="H1" s="3" t="s">
        <v>659</v>
      </c>
      <c r="I1" s="3" t="s">
        <v>720</v>
      </c>
      <c r="J1" s="3" t="s">
        <v>240</v>
      </c>
      <c r="K1" s="3" t="s">
        <v>129</v>
      </c>
      <c r="L1" s="3" t="s">
        <v>726</v>
      </c>
      <c r="M1" s="3" t="s">
        <v>729</v>
      </c>
      <c r="N1" s="3" t="s">
        <v>723</v>
      </c>
      <c r="O1" s="3" t="s">
        <v>721</v>
      </c>
      <c r="P1" s="3" t="s">
        <v>736</v>
      </c>
      <c r="Q1" s="3" t="s">
        <v>736</v>
      </c>
      <c r="R1" s="3">
        <v>1</v>
      </c>
      <c r="S1" s="3" t="s">
        <v>805</v>
      </c>
      <c r="T1" s="5"/>
      <c r="U1" s="3" t="s">
        <v>808</v>
      </c>
      <c r="V1" s="3" t="s">
        <v>805</v>
      </c>
      <c r="W1" s="3">
        <v>0</v>
      </c>
      <c r="X1" s="3" t="s">
        <v>734</v>
      </c>
      <c r="Y1" s="6" t="s">
        <v>630</v>
      </c>
      <c r="Z1" s="3" t="s">
        <v>485</v>
      </c>
      <c r="AA1" s="3" t="s">
        <v>623</v>
      </c>
      <c r="AB1" s="3" t="s">
        <v>805</v>
      </c>
      <c r="AC1" s="3" t="s">
        <v>673</v>
      </c>
      <c r="AF1" s="3" t="s">
        <v>726</v>
      </c>
      <c r="AG1" s="3" t="s">
        <v>783</v>
      </c>
      <c r="AH1" s="3" t="s">
        <v>676</v>
      </c>
      <c r="AI1" s="3" t="s">
        <v>773</v>
      </c>
      <c r="AJ1" s="3" t="s">
        <v>664</v>
      </c>
      <c r="AK1" s="3" t="s">
        <v>618</v>
      </c>
      <c r="AL1" s="3" t="s">
        <v>753</v>
      </c>
      <c r="AN1" s="3" t="s">
        <v>795</v>
      </c>
      <c r="AO1" s="6" t="s">
        <v>630</v>
      </c>
      <c r="AP1" s="3" t="s">
        <v>902</v>
      </c>
      <c r="AQ1" s="3" t="s">
        <v>905</v>
      </c>
      <c r="AR1" s="6"/>
      <c r="AS1" s="3" t="s">
        <v>696</v>
      </c>
      <c r="AT1" s="3">
        <v>0</v>
      </c>
      <c r="AU1" s="6" t="s">
        <v>630</v>
      </c>
      <c r="AV1" s="3" t="s">
        <v>765</v>
      </c>
    </row>
    <row r="2" spans="1:48" hidden="1" x14ac:dyDescent="0.2">
      <c r="A2" s="3" t="s">
        <v>589</v>
      </c>
      <c r="B2" s="3">
        <v>1</v>
      </c>
      <c r="C2" s="3" t="s">
        <v>715</v>
      </c>
      <c r="D2" s="4" t="s">
        <v>717</v>
      </c>
      <c r="E2" s="3" t="s">
        <v>712</v>
      </c>
      <c r="F2" s="3" t="s">
        <v>749</v>
      </c>
      <c r="G2" s="3" t="s">
        <v>692</v>
      </c>
      <c r="H2" s="3" t="s">
        <v>782</v>
      </c>
      <c r="I2" s="3" t="s">
        <v>721</v>
      </c>
      <c r="J2" s="3" t="s">
        <v>254</v>
      </c>
      <c r="K2" s="3" t="s">
        <v>130</v>
      </c>
      <c r="L2" s="3" t="s">
        <v>727</v>
      </c>
      <c r="M2" s="3" t="s">
        <v>730</v>
      </c>
      <c r="N2" s="3" t="s">
        <v>867</v>
      </c>
      <c r="O2" s="3" t="s">
        <v>733</v>
      </c>
      <c r="P2" s="3" t="s">
        <v>737</v>
      </c>
      <c r="Q2" s="3" t="s">
        <v>737</v>
      </c>
      <c r="R2" s="3">
        <v>1.5</v>
      </c>
      <c r="S2" s="3" t="s">
        <v>806</v>
      </c>
      <c r="T2" s="5">
        <v>0</v>
      </c>
      <c r="U2" s="3" t="s">
        <v>809</v>
      </c>
      <c r="V2" s="3">
        <v>1</v>
      </c>
      <c r="W2" s="3">
        <v>2</v>
      </c>
      <c r="X2" s="3" t="s">
        <v>830</v>
      </c>
      <c r="Y2" s="3" t="s">
        <v>723</v>
      </c>
      <c r="Z2" s="3" t="s">
        <v>568</v>
      </c>
      <c r="AA2" s="3" t="s">
        <v>845</v>
      </c>
      <c r="AB2" s="3" t="s">
        <v>672</v>
      </c>
      <c r="AC2" s="3" t="s">
        <v>674</v>
      </c>
      <c r="AD2" s="3" t="s">
        <v>850</v>
      </c>
      <c r="AF2" s="3" t="s">
        <v>785</v>
      </c>
      <c r="AG2" s="3" t="s">
        <v>477</v>
      </c>
      <c r="AH2" s="3" t="s">
        <v>855</v>
      </c>
      <c r="AI2" s="3" t="s">
        <v>728</v>
      </c>
      <c r="AJ2" s="3" t="s">
        <v>667</v>
      </c>
      <c r="AK2" s="3" t="s">
        <v>617</v>
      </c>
      <c r="AL2" s="3" t="s">
        <v>752</v>
      </c>
      <c r="AN2" s="3" t="s">
        <v>878</v>
      </c>
      <c r="AO2" s="3">
        <v>-2</v>
      </c>
      <c r="AP2" s="3" t="s">
        <v>903</v>
      </c>
      <c r="AQ2" s="3" t="s">
        <v>906</v>
      </c>
      <c r="AR2" s="3" t="s">
        <v>635</v>
      </c>
      <c r="AS2" s="3" t="s">
        <v>697</v>
      </c>
      <c r="AT2" s="3">
        <v>1</v>
      </c>
      <c r="AU2" s="3">
        <v>0</v>
      </c>
      <c r="AV2" s="3" t="s">
        <v>766</v>
      </c>
    </row>
    <row r="3" spans="1:48" hidden="1" x14ac:dyDescent="0.2">
      <c r="A3" s="3" t="s">
        <v>585</v>
      </c>
      <c r="B3" s="3">
        <v>2</v>
      </c>
      <c r="D3" s="4"/>
      <c r="E3" s="3" t="s">
        <v>708</v>
      </c>
      <c r="F3" s="3" t="s">
        <v>748</v>
      </c>
      <c r="G3" s="3" t="s">
        <v>601</v>
      </c>
      <c r="H3" s="3" t="s">
        <v>781</v>
      </c>
      <c r="I3" s="3" t="s">
        <v>722</v>
      </c>
      <c r="J3" s="3" t="s">
        <v>255</v>
      </c>
      <c r="K3" s="3" t="s">
        <v>131</v>
      </c>
      <c r="L3" s="3" t="s">
        <v>728</v>
      </c>
      <c r="M3" s="3" t="s">
        <v>731</v>
      </c>
      <c r="N3" s="3" t="s">
        <v>866</v>
      </c>
      <c r="O3" s="3" t="s">
        <v>720</v>
      </c>
      <c r="P3" s="3" t="s">
        <v>622</v>
      </c>
      <c r="Q3" s="3" t="s">
        <v>621</v>
      </c>
      <c r="R3" s="3">
        <v>2</v>
      </c>
      <c r="S3" s="3" t="s">
        <v>807</v>
      </c>
      <c r="T3" s="5">
        <v>0.1</v>
      </c>
      <c r="V3" s="3">
        <v>2</v>
      </c>
      <c r="W3" s="3">
        <v>4</v>
      </c>
      <c r="X3" s="3" t="s">
        <v>735</v>
      </c>
      <c r="Y3" s="3" t="s">
        <v>723</v>
      </c>
      <c r="Z3" s="3" t="s">
        <v>844</v>
      </c>
      <c r="AA3" s="3" t="s">
        <v>846</v>
      </c>
      <c r="AC3" s="3" t="s">
        <v>675</v>
      </c>
      <c r="AD3" s="3" t="s">
        <v>510</v>
      </c>
      <c r="AF3" s="3" t="s">
        <v>786</v>
      </c>
      <c r="AG3" s="3" t="s">
        <v>784</v>
      </c>
      <c r="AH3" s="3" t="s">
        <v>856</v>
      </c>
      <c r="AI3" s="3" t="s">
        <v>776</v>
      </c>
      <c r="AJ3" s="3" t="s">
        <v>863</v>
      </c>
      <c r="AK3" s="3" t="s">
        <v>619</v>
      </c>
      <c r="AL3" s="3" t="s">
        <v>569</v>
      </c>
      <c r="AN3" s="3" t="s">
        <v>830</v>
      </c>
      <c r="AO3" s="3">
        <v>-3</v>
      </c>
      <c r="AP3" s="3" t="s">
        <v>656</v>
      </c>
      <c r="AQ3" s="3" t="s">
        <v>723</v>
      </c>
      <c r="AR3" s="3" t="s">
        <v>634</v>
      </c>
      <c r="AS3" s="3" t="s">
        <v>698</v>
      </c>
      <c r="AT3" s="3">
        <v>2</v>
      </c>
      <c r="AU3" s="3">
        <v>2</v>
      </c>
      <c r="AV3" s="3" t="s">
        <v>767</v>
      </c>
    </row>
    <row r="4" spans="1:48" hidden="1" x14ac:dyDescent="0.2">
      <c r="A4" s="3" t="s">
        <v>724</v>
      </c>
      <c r="B4" s="3">
        <v>3</v>
      </c>
      <c r="E4" s="3" t="s">
        <v>713</v>
      </c>
      <c r="F4" s="3" t="s">
        <v>750</v>
      </c>
      <c r="G4" s="3" t="s">
        <v>726</v>
      </c>
      <c r="H4" s="3" t="s">
        <v>778</v>
      </c>
      <c r="I4" s="3" t="s">
        <v>723</v>
      </c>
      <c r="J4" s="3" t="s">
        <v>121</v>
      </c>
      <c r="K4" s="3" t="s">
        <v>132</v>
      </c>
      <c r="M4" s="3" t="s">
        <v>724</v>
      </c>
      <c r="N4" s="3" t="s">
        <v>732</v>
      </c>
      <c r="P4" s="3" t="s">
        <v>657</v>
      </c>
      <c r="Q4" s="3" t="s">
        <v>723</v>
      </c>
      <c r="R4" s="3">
        <v>2.5</v>
      </c>
      <c r="T4" s="5">
        <v>0.25</v>
      </c>
      <c r="V4" s="3">
        <v>3</v>
      </c>
      <c r="W4" s="3">
        <v>6</v>
      </c>
      <c r="X4" s="3" t="s">
        <v>831</v>
      </c>
      <c r="Y4" s="3" t="s">
        <v>645</v>
      </c>
      <c r="Z4" s="3" t="s">
        <v>874</v>
      </c>
      <c r="AA4" s="3" t="s">
        <v>847</v>
      </c>
      <c r="AD4" s="3" t="s">
        <v>851</v>
      </c>
      <c r="AF4" s="3" t="s">
        <v>727</v>
      </c>
      <c r="AG4" s="3" t="s">
        <v>723</v>
      </c>
      <c r="AH4" s="3" t="s">
        <v>857</v>
      </c>
      <c r="AI4" s="3" t="s">
        <v>775</v>
      </c>
      <c r="AJ4" s="3" t="s">
        <v>665</v>
      </c>
      <c r="AK4" s="3" t="s">
        <v>620</v>
      </c>
      <c r="AL4" s="3" t="s">
        <v>626</v>
      </c>
      <c r="AN4" s="3" t="s">
        <v>616</v>
      </c>
      <c r="AO4" s="3">
        <v>-5</v>
      </c>
      <c r="AP4" s="3" t="s">
        <v>655</v>
      </c>
      <c r="AR4" s="3" t="s">
        <v>679</v>
      </c>
      <c r="AS4" s="3" t="s">
        <v>699</v>
      </c>
      <c r="AT4" s="3">
        <v>3</v>
      </c>
      <c r="AU4" s="3">
        <v>4</v>
      </c>
      <c r="AV4" s="3" t="s">
        <v>768</v>
      </c>
    </row>
    <row r="5" spans="1:48" hidden="1" x14ac:dyDescent="0.2">
      <c r="B5" s="3">
        <v>4</v>
      </c>
      <c r="E5" s="3" t="s">
        <v>709</v>
      </c>
      <c r="F5" s="3" t="s">
        <v>751</v>
      </c>
      <c r="G5" s="3" t="s">
        <v>780</v>
      </c>
      <c r="H5" s="3" t="s">
        <v>779</v>
      </c>
      <c r="J5" s="3" t="s">
        <v>256</v>
      </c>
      <c r="K5" s="3" t="s">
        <v>133</v>
      </c>
      <c r="P5" s="3" t="s">
        <v>723</v>
      </c>
      <c r="R5" s="3">
        <v>3</v>
      </c>
      <c r="T5" s="5">
        <v>0.5</v>
      </c>
      <c r="W5" s="3">
        <v>8</v>
      </c>
      <c r="X5" s="3" t="s">
        <v>832</v>
      </c>
      <c r="Y5" s="3" t="s">
        <v>841</v>
      </c>
      <c r="Z5" s="3" t="s">
        <v>624</v>
      </c>
      <c r="AA5" s="3" t="s">
        <v>848</v>
      </c>
      <c r="AD5" s="3" t="s">
        <v>852</v>
      </c>
      <c r="AF5" s="3" t="s">
        <v>787</v>
      </c>
      <c r="AH5" s="3" t="s">
        <v>858</v>
      </c>
      <c r="AI5" s="3" t="s">
        <v>774</v>
      </c>
      <c r="AJ5" s="3" t="s">
        <v>666</v>
      </c>
      <c r="AK5" s="3" t="s">
        <v>869</v>
      </c>
      <c r="AL5" s="3" t="s">
        <v>570</v>
      </c>
      <c r="AN5" s="3" t="s">
        <v>834</v>
      </c>
      <c r="AO5" s="3">
        <v>-5</v>
      </c>
      <c r="AP5" s="3" t="s">
        <v>904</v>
      </c>
      <c r="AR5" s="3" t="s">
        <v>678</v>
      </c>
      <c r="AS5" s="3" t="s">
        <v>658</v>
      </c>
      <c r="AT5" s="3">
        <v>4</v>
      </c>
      <c r="AU5" s="3">
        <v>6</v>
      </c>
      <c r="AV5" s="3" t="s">
        <v>769</v>
      </c>
    </row>
    <row r="6" spans="1:48" hidden="1" x14ac:dyDescent="0.2">
      <c r="A6"/>
      <c r="B6" s="3">
        <v>5</v>
      </c>
      <c r="E6" s="3" t="s">
        <v>707</v>
      </c>
      <c r="F6" s="3" t="s">
        <v>567</v>
      </c>
      <c r="H6" s="3" t="s">
        <v>780</v>
      </c>
      <c r="J6" s="3" t="s">
        <v>257</v>
      </c>
      <c r="K6" s="3" t="s">
        <v>134</v>
      </c>
      <c r="T6" s="5">
        <v>0.75</v>
      </c>
      <c r="W6" s="3">
        <v>11</v>
      </c>
      <c r="X6" s="3" t="s">
        <v>833</v>
      </c>
      <c r="Y6" s="3" t="s">
        <v>865</v>
      </c>
      <c r="Z6" s="3" t="s">
        <v>754</v>
      </c>
      <c r="AA6" s="3" t="s">
        <v>849</v>
      </c>
      <c r="AC6" s="3" t="s">
        <v>33</v>
      </c>
      <c r="AD6" s="3" t="s">
        <v>513</v>
      </c>
      <c r="AF6" s="3" t="s">
        <v>788</v>
      </c>
      <c r="AH6" s="3" t="s">
        <v>859</v>
      </c>
      <c r="AI6" s="3" t="s">
        <v>772</v>
      </c>
      <c r="AJ6" s="3" t="s">
        <v>668</v>
      </c>
      <c r="AK6" s="3" t="s">
        <v>870</v>
      </c>
      <c r="AL6" s="3" t="s">
        <v>627</v>
      </c>
      <c r="AN6" s="3" t="s">
        <v>879</v>
      </c>
      <c r="AO6" s="3">
        <v>-5</v>
      </c>
      <c r="AP6" s="3" t="s">
        <v>652</v>
      </c>
      <c r="AR6" s="3" t="s">
        <v>636</v>
      </c>
      <c r="AS6" s="3" t="s">
        <v>659</v>
      </c>
      <c r="AT6" s="3">
        <v>5</v>
      </c>
      <c r="AU6" s="3">
        <v>8</v>
      </c>
      <c r="AV6" s="3" t="s">
        <v>770</v>
      </c>
    </row>
    <row r="7" spans="1:48" hidden="1" x14ac:dyDescent="0.2">
      <c r="B7" s="3">
        <v>6</v>
      </c>
      <c r="E7" s="3" t="s">
        <v>718</v>
      </c>
      <c r="F7" s="3" t="s">
        <v>877</v>
      </c>
      <c r="H7" s="3" t="s">
        <v>723</v>
      </c>
      <c r="J7" s="3" t="s">
        <v>258</v>
      </c>
      <c r="K7" s="3" t="s">
        <v>135</v>
      </c>
      <c r="T7" s="5">
        <v>0.9</v>
      </c>
      <c r="X7" s="3" t="s">
        <v>834</v>
      </c>
      <c r="Y7" s="3" t="s">
        <v>842</v>
      </c>
      <c r="Z7" s="3" t="s">
        <v>486</v>
      </c>
      <c r="AC7" s="3" t="s">
        <v>34</v>
      </c>
      <c r="AD7" s="3" t="s">
        <v>853</v>
      </c>
      <c r="AF7" s="3" t="s">
        <v>789</v>
      </c>
      <c r="AH7" s="3" t="s">
        <v>860</v>
      </c>
      <c r="AI7" s="3" t="s">
        <v>777</v>
      </c>
      <c r="AJ7" s="3" t="s">
        <v>670</v>
      </c>
      <c r="AK7" s="3" t="s">
        <v>572</v>
      </c>
      <c r="AL7" s="3" t="s">
        <v>629</v>
      </c>
      <c r="AN7" s="3" t="s">
        <v>880</v>
      </c>
      <c r="AO7" s="3">
        <v>-15</v>
      </c>
      <c r="AP7" s="3" t="s">
        <v>300</v>
      </c>
      <c r="AR7" s="3" t="s">
        <v>638</v>
      </c>
      <c r="AS7" s="3" t="s">
        <v>660</v>
      </c>
      <c r="AT7" s="3">
        <v>6</v>
      </c>
      <c r="AU7" s="3">
        <v>10</v>
      </c>
      <c r="AV7" s="3" t="s">
        <v>423</v>
      </c>
    </row>
    <row r="8" spans="1:48" hidden="1" x14ac:dyDescent="0.2">
      <c r="B8" s="3">
        <v>7</v>
      </c>
      <c r="E8" s="3" t="s">
        <v>710</v>
      </c>
      <c r="F8" s="3" t="s">
        <v>876</v>
      </c>
      <c r="J8" s="3" t="s">
        <v>890</v>
      </c>
      <c r="K8" s="3" t="s">
        <v>724</v>
      </c>
      <c r="T8" s="5">
        <v>1</v>
      </c>
      <c r="X8" s="3" t="s">
        <v>562</v>
      </c>
      <c r="Y8" s="3" t="s">
        <v>646</v>
      </c>
      <c r="Z8" s="3" t="s">
        <v>625</v>
      </c>
      <c r="AC8" s="3" t="s">
        <v>674</v>
      </c>
      <c r="AD8" s="3" t="s">
        <v>499</v>
      </c>
      <c r="AF8" s="3" t="s">
        <v>776</v>
      </c>
      <c r="AJ8" s="3" t="s">
        <v>669</v>
      </c>
      <c r="AK8" s="3" t="s">
        <v>621</v>
      </c>
      <c r="AL8" s="3" t="s">
        <v>628</v>
      </c>
      <c r="AN8" s="3" t="s">
        <v>734</v>
      </c>
      <c r="AO8" s="3">
        <v>-50</v>
      </c>
      <c r="AR8" s="3" t="s">
        <v>639</v>
      </c>
      <c r="AS8" s="3" t="s">
        <v>710</v>
      </c>
      <c r="AT8" s="3">
        <v>7</v>
      </c>
      <c r="AU8" s="3">
        <v>11</v>
      </c>
      <c r="AV8" s="3" t="s">
        <v>724</v>
      </c>
    </row>
    <row r="9" spans="1:48" hidden="1" x14ac:dyDescent="0.2">
      <c r="B9" s="3">
        <v>8</v>
      </c>
      <c r="E9"/>
      <c r="F9" s="3" t="s">
        <v>875</v>
      </c>
      <c r="Y9" s="3" t="s">
        <v>868</v>
      </c>
      <c r="Z9" s="3" t="s">
        <v>569</v>
      </c>
      <c r="AD9" s="3" t="s">
        <v>473</v>
      </c>
      <c r="AF9" s="3" t="s">
        <v>298</v>
      </c>
      <c r="AJ9" s="3" t="s">
        <v>115</v>
      </c>
      <c r="AK9" s="3" t="s">
        <v>105</v>
      </c>
      <c r="AN9" s="3" t="s">
        <v>615</v>
      </c>
      <c r="AO9"/>
      <c r="AR9" s="3" t="s">
        <v>637</v>
      </c>
      <c r="AT9" s="3">
        <v>8</v>
      </c>
      <c r="AU9" s="3">
        <v>13</v>
      </c>
    </row>
    <row r="10" spans="1:48" hidden="1" x14ac:dyDescent="0.2">
      <c r="B10" s="3">
        <v>9</v>
      </c>
      <c r="E10"/>
      <c r="F10"/>
      <c r="Y10" s="3" t="s">
        <v>640</v>
      </c>
      <c r="AD10" s="3" t="s">
        <v>854</v>
      </c>
      <c r="AJ10" s="3" t="s">
        <v>116</v>
      </c>
      <c r="AN10" s="3" t="s">
        <v>723</v>
      </c>
      <c r="AO10"/>
      <c r="AR10" s="3" t="s">
        <v>631</v>
      </c>
      <c r="AT10" s="3">
        <v>9</v>
      </c>
      <c r="AU10" s="3">
        <v>14</v>
      </c>
    </row>
    <row r="11" spans="1:48" hidden="1" x14ac:dyDescent="0.2">
      <c r="B11" s="3">
        <v>10</v>
      </c>
      <c r="F11"/>
      <c r="Y11" s="3" t="s">
        <v>641</v>
      </c>
      <c r="AC11" s="3" t="s">
        <v>35</v>
      </c>
      <c r="AD11" s="3" t="s">
        <v>474</v>
      </c>
      <c r="AJ11" s="3" t="s">
        <v>118</v>
      </c>
      <c r="AR11" s="3" t="s">
        <v>677</v>
      </c>
      <c r="AT11" s="3">
        <v>10</v>
      </c>
      <c r="AU11" s="3">
        <v>15</v>
      </c>
    </row>
    <row r="12" spans="1:48" hidden="1" x14ac:dyDescent="0.2">
      <c r="C12" s="3" t="s">
        <v>560</v>
      </c>
      <c r="E12" s="3" t="s">
        <v>695</v>
      </c>
      <c r="F12" s="3" t="s">
        <v>695</v>
      </c>
      <c r="H12" s="3" t="s">
        <v>260</v>
      </c>
      <c r="I12" s="3" t="s">
        <v>263</v>
      </c>
      <c r="J12" s="3" t="s">
        <v>284</v>
      </c>
      <c r="N12" s="3" t="s">
        <v>307</v>
      </c>
      <c r="P12" s="3" t="s">
        <v>108</v>
      </c>
      <c r="Y12" s="3" t="s">
        <v>843</v>
      </c>
      <c r="AC12" s="3" t="s">
        <v>374</v>
      </c>
      <c r="AD12" s="3" t="s">
        <v>864</v>
      </c>
      <c r="AJ12" s="3" t="s">
        <v>117</v>
      </c>
      <c r="AR12" s="3" t="s">
        <v>633</v>
      </c>
      <c r="AT12" s="3">
        <v>11</v>
      </c>
      <c r="AU12" s="3">
        <v>16</v>
      </c>
    </row>
    <row r="13" spans="1:48" hidden="1" x14ac:dyDescent="0.2">
      <c r="C13" s="3" t="s">
        <v>561</v>
      </c>
      <c r="E13" s="3" t="s">
        <v>565</v>
      </c>
      <c r="F13" s="3" t="s">
        <v>557</v>
      </c>
      <c r="H13" s="3" t="s">
        <v>261</v>
      </c>
      <c r="I13" s="3" t="s">
        <v>225</v>
      </c>
      <c r="J13" s="3" t="s">
        <v>285</v>
      </c>
      <c r="N13" s="3" t="s">
        <v>308</v>
      </c>
      <c r="P13" s="3" t="s">
        <v>109</v>
      </c>
      <c r="Y13" s="3" t="s">
        <v>890</v>
      </c>
      <c r="AD13" s="3" t="s">
        <v>771</v>
      </c>
      <c r="AJ13" s="3" t="s">
        <v>119</v>
      </c>
      <c r="AR13" s="3" t="s">
        <v>632</v>
      </c>
      <c r="AT13" s="3">
        <v>12</v>
      </c>
      <c r="AU13" s="3">
        <v>18</v>
      </c>
    </row>
    <row r="14" spans="1:48" hidden="1" x14ac:dyDescent="0.2">
      <c r="C14" s="3" t="s">
        <v>671</v>
      </c>
      <c r="E14" s="3" t="s">
        <v>724</v>
      </c>
      <c r="F14" s="3" t="s">
        <v>558</v>
      </c>
      <c r="H14" s="3" t="s">
        <v>262</v>
      </c>
      <c r="I14" s="3" t="s">
        <v>264</v>
      </c>
      <c r="J14" s="3" t="s">
        <v>286</v>
      </c>
      <c r="P14" s="3" t="s">
        <v>110</v>
      </c>
      <c r="Y14"/>
      <c r="AD14" s="3" t="s">
        <v>511</v>
      </c>
      <c r="AJ14" s="3" t="s">
        <v>120</v>
      </c>
      <c r="AR14" s="3" t="s">
        <v>890</v>
      </c>
      <c r="AT14" s="3">
        <v>13</v>
      </c>
      <c r="AU14" s="3">
        <v>19</v>
      </c>
    </row>
    <row r="15" spans="1:48" hidden="1" x14ac:dyDescent="0.2">
      <c r="C15" s="3" t="s">
        <v>723</v>
      </c>
      <c r="F15" s="3" t="s">
        <v>724</v>
      </c>
      <c r="J15" s="3" t="s">
        <v>287</v>
      </c>
      <c r="P15" s="3" t="s">
        <v>111</v>
      </c>
      <c r="W15" s="3" t="s">
        <v>270</v>
      </c>
      <c r="X15" s="3" t="s">
        <v>734</v>
      </c>
      <c r="Y15"/>
      <c r="Z15" s="3" t="s">
        <v>29</v>
      </c>
      <c r="AD15" s="3" t="s">
        <v>512</v>
      </c>
      <c r="AT15" s="3">
        <v>14</v>
      </c>
      <c r="AU15" s="3">
        <v>20</v>
      </c>
    </row>
    <row r="16" spans="1:48" hidden="1" x14ac:dyDescent="0.2">
      <c r="A16" s="3" t="s">
        <v>534</v>
      </c>
      <c r="J16" s="3" t="s">
        <v>288</v>
      </c>
      <c r="P16" s="3" t="s">
        <v>112</v>
      </c>
      <c r="W16" s="3" t="s">
        <v>271</v>
      </c>
      <c r="X16" s="3" t="s">
        <v>735</v>
      </c>
      <c r="Z16" s="3" t="s">
        <v>30</v>
      </c>
      <c r="AD16" s="3" t="s">
        <v>796</v>
      </c>
      <c r="AT16" s="3">
        <v>15</v>
      </c>
      <c r="AU16" s="3">
        <v>21</v>
      </c>
    </row>
    <row r="17" spans="1:47" hidden="1" x14ac:dyDescent="0.2">
      <c r="A17" s="3" t="s">
        <v>535</v>
      </c>
      <c r="C17" s="12" t="s">
        <v>346</v>
      </c>
      <c r="J17" s="3" t="s">
        <v>289</v>
      </c>
      <c r="W17" s="3" t="s">
        <v>723</v>
      </c>
      <c r="X17" s="3" t="s">
        <v>831</v>
      </c>
      <c r="Z17" s="3" t="s">
        <v>293</v>
      </c>
      <c r="AD17" s="3" t="s">
        <v>563</v>
      </c>
      <c r="AR17" s="7"/>
      <c r="AT17" s="3">
        <v>16</v>
      </c>
      <c r="AU17" s="3">
        <v>24</v>
      </c>
    </row>
    <row r="18" spans="1:47" hidden="1" x14ac:dyDescent="0.2">
      <c r="A18" s="3" t="s">
        <v>536</v>
      </c>
      <c r="C18" s="12" t="s">
        <v>347</v>
      </c>
      <c r="J18" s="3" t="s">
        <v>290</v>
      </c>
      <c r="X18" s="3" t="s">
        <v>562</v>
      </c>
      <c r="Z18" s="3" t="s">
        <v>294</v>
      </c>
      <c r="AD18" s="3" t="s">
        <v>500</v>
      </c>
      <c r="AR18"/>
      <c r="AU18" s="3">
        <v>26</v>
      </c>
    </row>
    <row r="19" spans="1:47" hidden="1" x14ac:dyDescent="0.2">
      <c r="A19" s="3" t="s">
        <v>537</v>
      </c>
      <c r="C19" s="12" t="s">
        <v>348</v>
      </c>
      <c r="J19" s="3" t="s">
        <v>291</v>
      </c>
      <c r="P19" s="3" t="s">
        <v>143</v>
      </c>
      <c r="X19" s="3" t="s">
        <v>651</v>
      </c>
      <c r="AD19" s="3" t="s">
        <v>501</v>
      </c>
      <c r="AU19" s="3">
        <v>28</v>
      </c>
    </row>
    <row r="20" spans="1:47" hidden="1" x14ac:dyDescent="0.2">
      <c r="A20" s="3" t="s">
        <v>538</v>
      </c>
      <c r="J20" s="3" t="s">
        <v>238</v>
      </c>
      <c r="X20" s="3" t="s">
        <v>890</v>
      </c>
      <c r="AD20" s="3" t="s">
        <v>502</v>
      </c>
      <c r="AU20" s="3">
        <v>30</v>
      </c>
    </row>
    <row r="21" spans="1:47" hidden="1" x14ac:dyDescent="0.2">
      <c r="A21" s="3" t="s">
        <v>539</v>
      </c>
      <c r="J21" s="3" t="s">
        <v>292</v>
      </c>
      <c r="P21" s="3" t="s">
        <v>185</v>
      </c>
      <c r="Q21" s="3" t="s">
        <v>184</v>
      </c>
      <c r="S21" s="3" t="s">
        <v>16</v>
      </c>
      <c r="AD21" s="3" t="s">
        <v>503</v>
      </c>
      <c r="AU21" s="3">
        <v>32</v>
      </c>
    </row>
    <row r="22" spans="1:47" hidden="1" x14ac:dyDescent="0.2">
      <c r="A22" s="3" t="s">
        <v>540</v>
      </c>
      <c r="C22" s="3" t="s">
        <v>223</v>
      </c>
      <c r="F22" s="3" t="s">
        <v>749</v>
      </c>
      <c r="P22" s="36" t="s">
        <v>144</v>
      </c>
      <c r="Q22" s="36" t="s">
        <v>145</v>
      </c>
      <c r="R22" s="36"/>
      <c r="S22" s="36" t="s">
        <v>17</v>
      </c>
      <c r="AD22" s="3" t="s">
        <v>504</v>
      </c>
      <c r="AU22" s="3">
        <v>34</v>
      </c>
    </row>
    <row r="23" spans="1:47" hidden="1" x14ac:dyDescent="0.2">
      <c r="A23" s="3" t="s">
        <v>541</v>
      </c>
      <c r="C23" s="3" t="s">
        <v>114</v>
      </c>
      <c r="F23" s="3" t="s">
        <v>748</v>
      </c>
      <c r="P23" s="36" t="s">
        <v>148</v>
      </c>
      <c r="Q23" s="36" t="s">
        <v>149</v>
      </c>
      <c r="R23" s="36"/>
      <c r="S23" s="272" t="s">
        <v>38</v>
      </c>
      <c r="AD23" s="3" t="s">
        <v>505</v>
      </c>
      <c r="AU23" s="3">
        <v>38</v>
      </c>
    </row>
    <row r="24" spans="1:47" hidden="1" x14ac:dyDescent="0.2">
      <c r="A24" s="3" t="s">
        <v>542</v>
      </c>
      <c r="F24" s="3" t="s">
        <v>283</v>
      </c>
      <c r="J24" s="3" t="s">
        <v>199</v>
      </c>
      <c r="P24" s="36" t="s">
        <v>152</v>
      </c>
      <c r="Q24" s="36" t="s">
        <v>153</v>
      </c>
      <c r="R24" s="36"/>
      <c r="S24" s="36"/>
      <c r="AD24" s="3" t="s">
        <v>506</v>
      </c>
      <c r="AU24" s="3">
        <v>40</v>
      </c>
    </row>
    <row r="25" spans="1:47" hidden="1" x14ac:dyDescent="0.2">
      <c r="A25" s="3" t="s">
        <v>543</v>
      </c>
      <c r="F25" s="3" t="s">
        <v>751</v>
      </c>
      <c r="J25" s="3" t="s">
        <v>200</v>
      </c>
      <c r="P25" s="36" t="s">
        <v>156</v>
      </c>
      <c r="Q25" s="36" t="s">
        <v>157</v>
      </c>
      <c r="R25" s="36"/>
      <c r="S25" s="36"/>
      <c r="AD25" s="3" t="s">
        <v>507</v>
      </c>
      <c r="AU25" s="3">
        <v>45</v>
      </c>
    </row>
    <row r="26" spans="1:47" hidden="1" x14ac:dyDescent="0.2">
      <c r="A26" s="3" t="s">
        <v>544</v>
      </c>
      <c r="J26" s="3" t="s">
        <v>201</v>
      </c>
      <c r="P26" s="36" t="s">
        <v>160</v>
      </c>
      <c r="Q26" s="36" t="s">
        <v>161</v>
      </c>
      <c r="R26" s="36"/>
      <c r="S26" s="36"/>
      <c r="AD26" s="3" t="s">
        <v>508</v>
      </c>
      <c r="AU26" s="3">
        <v>49</v>
      </c>
    </row>
    <row r="27" spans="1:47" hidden="1" x14ac:dyDescent="0.2">
      <c r="A27" s="3" t="s">
        <v>545</v>
      </c>
      <c r="J27" s="3" t="s">
        <v>202</v>
      </c>
      <c r="P27" s="36" t="s">
        <v>164</v>
      </c>
      <c r="Q27" s="36" t="s">
        <v>165</v>
      </c>
      <c r="R27" s="36"/>
      <c r="S27" s="36"/>
      <c r="AD27" s="3" t="s">
        <v>509</v>
      </c>
      <c r="AU27"/>
    </row>
    <row r="28" spans="1:47" hidden="1" x14ac:dyDescent="0.2">
      <c r="D28" s="3" t="s">
        <v>123</v>
      </c>
      <c r="G28" s="3" t="s">
        <v>20</v>
      </c>
      <c r="J28" s="3" t="s">
        <v>203</v>
      </c>
      <c r="P28" s="36" t="s">
        <v>168</v>
      </c>
      <c r="Q28" s="36" t="s">
        <v>169</v>
      </c>
      <c r="R28" s="36"/>
      <c r="S28" s="36"/>
      <c r="AD28" s="3" t="s">
        <v>476</v>
      </c>
    </row>
    <row r="29" spans="1:47" hidden="1" x14ac:dyDescent="0.2">
      <c r="D29" s="3" t="s">
        <v>124</v>
      </c>
      <c r="E29" s="3" t="s">
        <v>124</v>
      </c>
      <c r="G29" s="3" t="s">
        <v>24</v>
      </c>
      <c r="J29" s="3" t="s">
        <v>204</v>
      </c>
      <c r="P29" s="36" t="s">
        <v>172</v>
      </c>
      <c r="Q29" s="36" t="s">
        <v>173</v>
      </c>
      <c r="R29" s="36"/>
      <c r="S29" s="36"/>
      <c r="AD29" s="3" t="s">
        <v>475</v>
      </c>
      <c r="AU29"/>
    </row>
    <row r="30" spans="1:47" hidden="1" x14ac:dyDescent="0.2">
      <c r="D30" s="3" t="s">
        <v>125</v>
      </c>
      <c r="E30" s="3" t="s">
        <v>125</v>
      </c>
      <c r="G30" s="3" t="s">
        <v>21</v>
      </c>
      <c r="J30" s="3" t="s">
        <v>205</v>
      </c>
      <c r="P30" s="36" t="s">
        <v>176</v>
      </c>
      <c r="Q30" s="36" t="s">
        <v>177</v>
      </c>
      <c r="R30" s="36"/>
      <c r="S30" s="36"/>
      <c r="AU30"/>
    </row>
    <row r="31" spans="1:47" hidden="1" x14ac:dyDescent="0.2">
      <c r="D31" s="3" t="s">
        <v>126</v>
      </c>
      <c r="E31" s="3" t="s">
        <v>6</v>
      </c>
      <c r="G31" s="3" t="s">
        <v>22</v>
      </c>
      <c r="J31" s="3" t="s">
        <v>206</v>
      </c>
      <c r="P31" s="36" t="s">
        <v>180</v>
      </c>
      <c r="Q31" s="36" t="s">
        <v>181</v>
      </c>
      <c r="R31" s="36"/>
      <c r="S31" s="36"/>
    </row>
    <row r="32" spans="1:47" hidden="1" x14ac:dyDescent="0.2">
      <c r="D32" s="3" t="s">
        <v>127</v>
      </c>
      <c r="G32" s="3" t="s">
        <v>23</v>
      </c>
      <c r="J32" s="3" t="s">
        <v>207</v>
      </c>
      <c r="P32" s="36" t="s">
        <v>146</v>
      </c>
      <c r="Q32" s="36" t="s">
        <v>147</v>
      </c>
    </row>
    <row r="33" spans="4:17" hidden="1" x14ac:dyDescent="0.2">
      <c r="D33" s="3" t="s">
        <v>128</v>
      </c>
      <c r="G33" s="3" t="s">
        <v>572</v>
      </c>
      <c r="J33" s="3" t="s">
        <v>43</v>
      </c>
      <c r="P33" s="36" t="s">
        <v>150</v>
      </c>
      <c r="Q33" s="36" t="s">
        <v>151</v>
      </c>
    </row>
    <row r="34" spans="4:17" hidden="1" x14ac:dyDescent="0.2">
      <c r="P34" s="36" t="s">
        <v>154</v>
      </c>
      <c r="Q34" s="36" t="s">
        <v>155</v>
      </c>
    </row>
    <row r="35" spans="4:17" hidden="1" x14ac:dyDescent="0.2">
      <c r="P35" s="36" t="s">
        <v>158</v>
      </c>
      <c r="Q35" s="36" t="s">
        <v>159</v>
      </c>
    </row>
    <row r="36" spans="4:17" hidden="1" x14ac:dyDescent="0.2">
      <c r="P36" s="36" t="s">
        <v>162</v>
      </c>
      <c r="Q36" s="36" t="s">
        <v>163</v>
      </c>
    </row>
    <row r="37" spans="4:17" hidden="1" x14ac:dyDescent="0.2">
      <c r="P37" s="36" t="s">
        <v>166</v>
      </c>
      <c r="Q37" s="36" t="s">
        <v>167</v>
      </c>
    </row>
    <row r="38" spans="4:17" hidden="1" x14ac:dyDescent="0.2">
      <c r="P38" s="36" t="s">
        <v>170</v>
      </c>
      <c r="Q38" s="36" t="s">
        <v>171</v>
      </c>
    </row>
    <row r="39" spans="4:17" hidden="1" x14ac:dyDescent="0.2">
      <c r="P39" s="36" t="s">
        <v>174</v>
      </c>
      <c r="Q39" s="36" t="s">
        <v>175</v>
      </c>
    </row>
    <row r="40" spans="4:17" hidden="1" x14ac:dyDescent="0.2">
      <c r="P40" s="36" t="s">
        <v>178</v>
      </c>
      <c r="Q40" s="36" t="s">
        <v>179</v>
      </c>
    </row>
    <row r="41" spans="4:17" hidden="1" x14ac:dyDescent="0.2">
      <c r="P41" s="36" t="s">
        <v>182</v>
      </c>
      <c r="Q41" s="36" t="s">
        <v>183</v>
      </c>
    </row>
    <row r="42" spans="4:17" hidden="1" x14ac:dyDescent="0.2"/>
    <row r="43" spans="4:17" hidden="1" x14ac:dyDescent="0.2"/>
    <row r="44" spans="4:17" hidden="1" x14ac:dyDescent="0.2"/>
    <row r="45" spans="4:17" hidden="1" x14ac:dyDescent="0.2"/>
    <row r="46" spans="4:17" hidden="1" x14ac:dyDescent="0.2"/>
    <row r="47" spans="4:17" hidden="1" x14ac:dyDescent="0.2"/>
    <row r="48" spans="4:17" hidden="1" x14ac:dyDescent="0.2"/>
    <row r="49" spans="7:7" hidden="1" x14ac:dyDescent="0.2"/>
    <row r="50" spans="7:7" hidden="1" x14ac:dyDescent="0.2">
      <c r="G50" s="16" t="s">
        <v>45</v>
      </c>
    </row>
    <row r="51" spans="7:7" hidden="1" x14ac:dyDescent="0.2">
      <c r="G51" s="16" t="s">
        <v>46</v>
      </c>
    </row>
    <row r="52" spans="7:7" hidden="1" x14ac:dyDescent="0.2">
      <c r="G52" s="16" t="s">
        <v>47</v>
      </c>
    </row>
    <row r="53" spans="7:7" hidden="1" x14ac:dyDescent="0.2">
      <c r="G53" s="16" t="s">
        <v>48</v>
      </c>
    </row>
    <row r="54" spans="7:7" hidden="1" x14ac:dyDescent="0.2">
      <c r="G54" s="16" t="s">
        <v>49</v>
      </c>
    </row>
    <row r="55" spans="7:7" hidden="1" x14ac:dyDescent="0.2">
      <c r="G55" s="16" t="s">
        <v>50</v>
      </c>
    </row>
    <row r="56" spans="7:7" hidden="1" x14ac:dyDescent="0.2">
      <c r="G56" s="16" t="s">
        <v>51</v>
      </c>
    </row>
    <row r="57" spans="7:7" x14ac:dyDescent="0.2">
      <c r="G57" s="16" t="s">
        <v>52</v>
      </c>
    </row>
    <row r="58" spans="7:7" x14ac:dyDescent="0.2">
      <c r="G58" s="16" t="s">
        <v>53</v>
      </c>
    </row>
    <row r="59" spans="7:7" x14ac:dyDescent="0.2">
      <c r="G59" s="16" t="s">
        <v>54</v>
      </c>
    </row>
    <row r="60" spans="7:7" x14ac:dyDescent="0.2">
      <c r="G60" s="16" t="s">
        <v>55</v>
      </c>
    </row>
    <row r="61" spans="7:7" x14ac:dyDescent="0.2">
      <c r="G61" s="16" t="s">
        <v>56</v>
      </c>
    </row>
    <row r="62" spans="7:7" x14ac:dyDescent="0.2">
      <c r="G62" s="16" t="s">
        <v>57</v>
      </c>
    </row>
    <row r="63" spans="7:7" x14ac:dyDescent="0.2">
      <c r="G63" s="16" t="s">
        <v>58</v>
      </c>
    </row>
    <row r="64" spans="7:7" ht="20.25" customHeight="1" x14ac:dyDescent="0.2">
      <c r="G64" s="37" t="s">
        <v>59</v>
      </c>
    </row>
    <row r="65" spans="7:7" x14ac:dyDescent="0.2">
      <c r="G65" s="16" t="s">
        <v>60</v>
      </c>
    </row>
    <row r="66" spans="7:7" x14ac:dyDescent="0.2">
      <c r="G66" s="16" t="s">
        <v>61</v>
      </c>
    </row>
    <row r="67" spans="7:7" x14ac:dyDescent="0.2">
      <c r="G67" s="16" t="s">
        <v>62</v>
      </c>
    </row>
    <row r="68" spans="7:7" x14ac:dyDescent="0.2">
      <c r="G68" s="16" t="s">
        <v>63</v>
      </c>
    </row>
    <row r="69" spans="7:7" x14ac:dyDescent="0.2">
      <c r="G69" s="16" t="s">
        <v>64</v>
      </c>
    </row>
    <row r="70" spans="7:7" x14ac:dyDescent="0.2">
      <c r="G70" s="16" t="s">
        <v>65</v>
      </c>
    </row>
    <row r="71" spans="7:7" x14ac:dyDescent="0.2">
      <c r="G71" s="16" t="s">
        <v>66</v>
      </c>
    </row>
    <row r="72" spans="7:7" x14ac:dyDescent="0.2">
      <c r="G72" s="16" t="s">
        <v>67</v>
      </c>
    </row>
    <row r="73" spans="7:7" x14ac:dyDescent="0.2">
      <c r="G73" s="16" t="s">
        <v>68</v>
      </c>
    </row>
    <row r="74" spans="7:7" x14ac:dyDescent="0.2">
      <c r="G74" s="16" t="s">
        <v>69</v>
      </c>
    </row>
    <row r="75" spans="7:7" x14ac:dyDescent="0.2">
      <c r="G75" s="16" t="s">
        <v>70</v>
      </c>
    </row>
    <row r="76" spans="7:7" x14ac:dyDescent="0.2">
      <c r="G76" s="16" t="s">
        <v>71</v>
      </c>
    </row>
    <row r="77" spans="7:7" x14ac:dyDescent="0.2">
      <c r="G77" s="16" t="s">
        <v>72</v>
      </c>
    </row>
    <row r="78" spans="7:7" x14ac:dyDescent="0.2">
      <c r="G78" s="16" t="s">
        <v>73</v>
      </c>
    </row>
    <row r="79" spans="7:7" x14ac:dyDescent="0.2">
      <c r="G79" s="16" t="s">
        <v>74</v>
      </c>
    </row>
    <row r="80" spans="7:7" x14ac:dyDescent="0.2">
      <c r="G80" s="16" t="s">
        <v>75</v>
      </c>
    </row>
    <row r="81" spans="7:7" x14ac:dyDescent="0.2">
      <c r="G81" s="16" t="s">
        <v>76</v>
      </c>
    </row>
    <row r="82" spans="7:7" x14ac:dyDescent="0.2">
      <c r="G82" s="16" t="s">
        <v>77</v>
      </c>
    </row>
    <row r="83" spans="7:7" x14ac:dyDescent="0.2">
      <c r="G83" s="16" t="s">
        <v>78</v>
      </c>
    </row>
    <row r="84" spans="7:7" x14ac:dyDescent="0.2">
      <c r="G84" s="16" t="s">
        <v>79</v>
      </c>
    </row>
    <row r="85" spans="7:7" x14ac:dyDescent="0.2">
      <c r="G85" s="16" t="s">
        <v>80</v>
      </c>
    </row>
    <row r="86" spans="7:7" x14ac:dyDescent="0.2">
      <c r="G86" s="16" t="s">
        <v>81</v>
      </c>
    </row>
    <row r="87" spans="7:7" x14ac:dyDescent="0.2">
      <c r="G87" s="16" t="s">
        <v>82</v>
      </c>
    </row>
    <row r="88" spans="7:7" x14ac:dyDescent="0.2">
      <c r="G88" s="16" t="s">
        <v>83</v>
      </c>
    </row>
    <row r="89" spans="7:7" x14ac:dyDescent="0.2">
      <c r="G89" s="16" t="s">
        <v>84</v>
      </c>
    </row>
    <row r="90" spans="7:7" x14ac:dyDescent="0.2">
      <c r="G90" s="16" t="s">
        <v>85</v>
      </c>
    </row>
    <row r="91" spans="7:7" x14ac:dyDescent="0.2">
      <c r="G91" s="16" t="s">
        <v>86</v>
      </c>
    </row>
    <row r="92" spans="7:7" x14ac:dyDescent="0.2">
      <c r="G92" s="16" t="s">
        <v>87</v>
      </c>
    </row>
    <row r="93" spans="7:7" x14ac:dyDescent="0.2">
      <c r="G93" s="16" t="s">
        <v>88</v>
      </c>
    </row>
    <row r="94" spans="7:7" x14ac:dyDescent="0.2">
      <c r="G94" s="16" t="s">
        <v>89</v>
      </c>
    </row>
    <row r="95" spans="7:7" x14ac:dyDescent="0.2">
      <c r="G95" s="16" t="s">
        <v>90</v>
      </c>
    </row>
    <row r="96" spans="7:7" x14ac:dyDescent="0.2">
      <c r="G96" s="16" t="s">
        <v>91</v>
      </c>
    </row>
    <row r="97" spans="7:7" x14ac:dyDescent="0.2">
      <c r="G97" s="16" t="s">
        <v>92</v>
      </c>
    </row>
    <row r="98" spans="7:7" x14ac:dyDescent="0.2">
      <c r="G98" s="16" t="s">
        <v>93</v>
      </c>
    </row>
    <row r="99" spans="7:7" x14ac:dyDescent="0.2">
      <c r="G99" s="16" t="s">
        <v>94</v>
      </c>
    </row>
    <row r="100" spans="7:7" x14ac:dyDescent="0.2">
      <c r="G100" s="16" t="s">
        <v>95</v>
      </c>
    </row>
    <row r="101" spans="7:7" x14ac:dyDescent="0.2">
      <c r="G101" s="16" t="s">
        <v>96</v>
      </c>
    </row>
    <row r="102" spans="7:7" x14ac:dyDescent="0.2">
      <c r="G102" s="16" t="s">
        <v>97</v>
      </c>
    </row>
    <row r="103" spans="7:7" x14ac:dyDescent="0.2">
      <c r="G103" s="16" t="s">
        <v>98</v>
      </c>
    </row>
    <row r="104" spans="7:7" x14ac:dyDescent="0.2">
      <c r="G104" s="16" t="s">
        <v>99</v>
      </c>
    </row>
    <row r="105" spans="7:7" x14ac:dyDescent="0.2">
      <c r="G105" s="16" t="s">
        <v>100</v>
      </c>
    </row>
    <row r="106" spans="7:7" x14ac:dyDescent="0.2">
      <c r="G106" s="16" t="s">
        <v>101</v>
      </c>
    </row>
    <row r="107" spans="7:7" x14ac:dyDescent="0.2">
      <c r="G107" s="16" t="s">
        <v>0</v>
      </c>
    </row>
    <row r="108" spans="7:7" x14ac:dyDescent="0.2">
      <c r="G108" s="16" t="s">
        <v>1</v>
      </c>
    </row>
    <row r="109" spans="7:7" x14ac:dyDescent="0.2">
      <c r="G109" s="16" t="s">
        <v>2</v>
      </c>
    </row>
    <row r="110" spans="7:7" x14ac:dyDescent="0.2">
      <c r="G110" s="16" t="s">
        <v>3</v>
      </c>
    </row>
    <row r="111" spans="7:7" x14ac:dyDescent="0.2">
      <c r="G111" s="16" t="s">
        <v>4</v>
      </c>
    </row>
  </sheetData>
  <sheetProtection sheet="1" objects="1" scenarios="1"/>
  <autoFilter ref="Y1:Y13"/>
  <phoneticPr fontId="0" type="noConversion"/>
  <dataValidations count="2">
    <dataValidation type="list" allowBlank="1" showInputMessage="1" showErrorMessage="1" sqref="Y2:Y12">
      <formula1>insulationtype</formula1>
    </dataValidation>
    <dataValidation type="list" allowBlank="1" showInputMessage="1" showErrorMessage="1" sqref="AU26">
      <formula1>rvalues</formula1>
    </dataValidation>
  </dataValidations>
  <pageMargins left="0.75" right="0.75" top="1" bottom="1" header="0.5" footer="0.5"/>
  <headerFooter alignWithMargins="0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9"/>
  <sheetViews>
    <sheetView showGridLines="0" topLeftCell="A68" workbookViewId="0">
      <selection activeCell="C15" sqref="C15:D15"/>
    </sheetView>
  </sheetViews>
  <sheetFormatPr defaultColWidth="8.85546875" defaultRowHeight="15.75" x14ac:dyDescent="0.25"/>
  <cols>
    <col min="1" max="1" width="19" style="116" customWidth="1"/>
    <col min="2" max="2" width="13.140625" style="96" customWidth="1"/>
    <col min="3" max="3" width="16.85546875" style="96" customWidth="1"/>
    <col min="4" max="4" width="14.42578125" style="96" customWidth="1"/>
    <col min="5" max="5" width="9.85546875" style="96" customWidth="1"/>
    <col min="6" max="6" width="8.85546875" style="96"/>
    <col min="7" max="7" width="15.7109375" style="96" bestFit="1" customWidth="1"/>
    <col min="8" max="8" width="13.140625" style="96" customWidth="1"/>
    <col min="9" max="9" width="19.140625" style="96" customWidth="1"/>
    <col min="10" max="10" width="13.7109375" style="96" customWidth="1"/>
    <col min="11" max="11" width="18" style="96" customWidth="1"/>
    <col min="12" max="16384" width="8.85546875" style="96"/>
  </cols>
  <sheetData>
    <row r="1" spans="1:19" x14ac:dyDescent="0.25">
      <c r="A1" s="304"/>
      <c r="B1" s="304"/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98"/>
      <c r="N1" s="98"/>
      <c r="O1" s="98"/>
      <c r="P1" s="98"/>
      <c r="Q1" s="98"/>
      <c r="R1" s="98"/>
      <c r="S1" s="98"/>
    </row>
    <row r="2" spans="1:19" x14ac:dyDescent="0.25">
      <c r="A2" s="304"/>
      <c r="B2" s="304"/>
      <c r="C2" s="304"/>
      <c r="D2" s="304"/>
      <c r="E2" s="304"/>
      <c r="F2" s="304"/>
      <c r="G2" s="304"/>
      <c r="H2" s="304"/>
      <c r="I2" s="304"/>
      <c r="J2" s="304"/>
      <c r="K2" s="304"/>
      <c r="L2" s="304"/>
      <c r="M2" s="98"/>
      <c r="N2" s="98"/>
      <c r="O2" s="98"/>
      <c r="P2" s="98"/>
      <c r="Q2" s="98"/>
      <c r="R2" s="98"/>
      <c r="S2" s="98"/>
    </row>
    <row r="3" spans="1:19" x14ac:dyDescent="0.25">
      <c r="A3" s="304"/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98"/>
      <c r="N3" s="98"/>
      <c r="O3" s="98"/>
      <c r="P3" s="98"/>
      <c r="Q3" s="98"/>
    </row>
    <row r="4" spans="1:19" x14ac:dyDescent="0.25">
      <c r="A4" s="304"/>
      <c r="B4" s="304"/>
      <c r="C4" s="304"/>
      <c r="D4" s="304"/>
      <c r="E4" s="304"/>
      <c r="F4" s="304"/>
      <c r="G4" s="304"/>
      <c r="H4" s="304"/>
      <c r="I4" s="304"/>
      <c r="J4" s="304"/>
      <c r="K4" s="304"/>
      <c r="L4" s="304"/>
      <c r="M4" s="98"/>
      <c r="N4" s="98"/>
      <c r="O4" s="98"/>
      <c r="P4" s="98"/>
      <c r="Q4" s="98"/>
    </row>
    <row r="5" spans="1:19" ht="25.5" x14ac:dyDescent="0.35">
      <c r="A5" s="463" t="s">
        <v>31</v>
      </c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98"/>
      <c r="N5" s="98"/>
      <c r="O5" s="98"/>
      <c r="P5" s="98"/>
      <c r="Q5" s="98"/>
    </row>
    <row r="6" spans="1:19" ht="42.75" customHeight="1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98"/>
      <c r="N6" s="98"/>
      <c r="O6" s="98"/>
      <c r="P6" s="98"/>
      <c r="Q6" s="98"/>
    </row>
    <row r="7" spans="1:19" ht="18.75" x14ac:dyDescent="0.3">
      <c r="A7" s="466" t="s">
        <v>566</v>
      </c>
      <c r="B7" s="466"/>
      <c r="C7" s="469">
        <f>'Test In'!C7</f>
        <v>40879</v>
      </c>
      <c r="D7" s="469"/>
      <c r="E7" s="40"/>
      <c r="F7" s="467" t="s">
        <v>524</v>
      </c>
      <c r="G7" s="467"/>
      <c r="H7" s="268"/>
      <c r="I7" s="467" t="s">
        <v>305</v>
      </c>
      <c r="J7" s="467"/>
      <c r="K7" s="468" t="str">
        <f>IF(MAX(A133,A158,A172,A187,A206,A228,A244,A260,A273,A290)&gt;=3,"Major Corrective Action",IF(MAX(A134,A159,A173,A188,A207,A229,A245,A261,A274,A291)&gt;=1,"Major Corrective Action",IF(MAX(A133,A158,A172,A187,A206,A228,A244,A260,A273,A290)&gt;=1,"Minor Corrective Action","Pass")))</f>
        <v>Pass</v>
      </c>
      <c r="L7" s="468"/>
      <c r="M7" s="98"/>
      <c r="N7" s="98"/>
      <c r="O7" s="98"/>
      <c r="P7" s="98"/>
      <c r="Q7" s="98"/>
    </row>
    <row r="8" spans="1:19" ht="18.75" x14ac:dyDescent="0.3">
      <c r="A8" s="466" t="s">
        <v>821</v>
      </c>
      <c r="B8" s="466"/>
      <c r="C8" s="470"/>
      <c r="D8" s="470"/>
      <c r="E8" s="40"/>
      <c r="F8" s="40"/>
      <c r="G8" s="40"/>
      <c r="H8" s="40"/>
      <c r="I8" s="40"/>
      <c r="J8" s="40"/>
      <c r="K8" s="267"/>
      <c r="L8" s="267"/>
      <c r="M8" s="98"/>
      <c r="N8" s="98"/>
      <c r="O8" s="98"/>
      <c r="P8" s="98"/>
      <c r="Q8" s="98"/>
    </row>
    <row r="9" spans="1:19" ht="18.75" x14ac:dyDescent="0.3">
      <c r="A9" s="466" t="s">
        <v>306</v>
      </c>
      <c r="B9" s="466"/>
      <c r="C9" s="470" t="s">
        <v>908</v>
      </c>
      <c r="D9" s="470"/>
      <c r="E9" s="40"/>
      <c r="F9" s="9"/>
      <c r="G9" s="9"/>
      <c r="H9" s="40"/>
      <c r="I9" s="467" t="s">
        <v>549</v>
      </c>
      <c r="J9" s="467"/>
      <c r="K9" s="468" t="str">
        <f>IF(MAX(G39,G48,G53)&gt;=1, "Corrective Action Required", "Pass")</f>
        <v>Pass</v>
      </c>
      <c r="L9" s="468"/>
      <c r="M9" s="98"/>
      <c r="N9" s="98"/>
      <c r="O9" s="98"/>
      <c r="P9" s="98"/>
      <c r="Q9" s="98"/>
    </row>
    <row r="10" spans="1:19" ht="18.75" x14ac:dyDescent="0.3">
      <c r="A10" s="466" t="s">
        <v>514</v>
      </c>
      <c r="B10" s="466"/>
      <c r="C10" s="470" t="s">
        <v>909</v>
      </c>
      <c r="D10" s="470"/>
      <c r="E10" s="40"/>
      <c r="F10" s="40"/>
      <c r="G10" s="40"/>
      <c r="H10" s="40"/>
      <c r="I10" s="40"/>
      <c r="J10" s="40"/>
      <c r="K10" s="267"/>
      <c r="L10" s="267"/>
      <c r="M10" s="98"/>
      <c r="N10" s="98"/>
      <c r="O10" s="98"/>
      <c r="P10" s="98"/>
      <c r="Q10" s="98"/>
    </row>
    <row r="11" spans="1:19" ht="18.75" x14ac:dyDescent="0.3">
      <c r="A11" s="466" t="s">
        <v>700</v>
      </c>
      <c r="B11" s="466"/>
      <c r="C11" s="470"/>
      <c r="D11" s="470"/>
      <c r="E11" s="40"/>
      <c r="F11" s="40"/>
      <c r="G11" s="467" t="s">
        <v>188</v>
      </c>
      <c r="H11" s="467"/>
      <c r="I11" s="467"/>
      <c r="J11" s="467"/>
      <c r="K11" s="471" t="s">
        <v>307</v>
      </c>
      <c r="L11" s="471"/>
      <c r="M11" s="98"/>
      <c r="N11" s="98"/>
      <c r="O11" s="98"/>
      <c r="P11" s="98"/>
      <c r="Q11" s="98"/>
    </row>
    <row r="12" spans="1:19" ht="18.75" x14ac:dyDescent="0.3">
      <c r="A12" s="466" t="s">
        <v>515</v>
      </c>
      <c r="B12" s="466"/>
      <c r="C12" s="470"/>
      <c r="D12" s="470"/>
      <c r="E12" s="40"/>
      <c r="F12" s="40"/>
      <c r="G12" s="40"/>
      <c r="H12" s="40"/>
      <c r="I12" s="40"/>
      <c r="J12" s="40"/>
      <c r="K12" s="267"/>
      <c r="L12" s="267"/>
      <c r="M12" s="98"/>
      <c r="N12" s="98"/>
      <c r="O12" s="98"/>
      <c r="P12" s="98"/>
      <c r="Q12" s="98"/>
    </row>
    <row r="13" spans="1:19" ht="18.75" x14ac:dyDescent="0.3">
      <c r="A13" s="472" t="s">
        <v>516</v>
      </c>
      <c r="B13" s="472"/>
      <c r="C13" s="470" t="s">
        <v>910</v>
      </c>
      <c r="D13" s="470"/>
      <c r="E13" s="40"/>
      <c r="F13" s="9"/>
      <c r="G13" s="467" t="s">
        <v>11</v>
      </c>
      <c r="H13" s="467"/>
      <c r="I13" s="467"/>
      <c r="J13" s="467"/>
      <c r="K13" s="471"/>
      <c r="L13" s="471"/>
      <c r="M13" s="98"/>
      <c r="N13" s="98"/>
      <c r="O13" s="98"/>
      <c r="P13" s="98"/>
      <c r="Q13" s="98"/>
    </row>
    <row r="14" spans="1:19" ht="18.75" x14ac:dyDescent="0.25">
      <c r="A14" s="473" t="s">
        <v>349</v>
      </c>
      <c r="B14" s="473"/>
      <c r="C14" s="470">
        <v>97070</v>
      </c>
      <c r="D14" s="470"/>
      <c r="E14" s="40"/>
      <c r="F14" s="40"/>
      <c r="G14" s="40"/>
      <c r="H14" s="40"/>
      <c r="I14" s="40"/>
      <c r="J14" s="40"/>
      <c r="K14" s="40"/>
      <c r="L14" s="40"/>
      <c r="M14" s="98"/>
      <c r="N14" s="98"/>
      <c r="O14" s="98"/>
      <c r="P14" s="98"/>
      <c r="Q14" s="98"/>
    </row>
    <row r="15" spans="1:19" ht="18.75" x14ac:dyDescent="0.25">
      <c r="A15" s="473" t="s">
        <v>517</v>
      </c>
      <c r="B15" s="473"/>
      <c r="C15" s="470"/>
      <c r="D15" s="470"/>
      <c r="E15" s="40"/>
      <c r="F15" s="40"/>
      <c r="G15" s="40"/>
      <c r="H15" s="40"/>
      <c r="I15" s="40"/>
      <c r="J15" s="40"/>
      <c r="K15" s="40"/>
      <c r="L15" s="40"/>
      <c r="M15" s="98"/>
      <c r="N15" s="98"/>
      <c r="O15" s="98"/>
      <c r="P15" s="98"/>
      <c r="Q15" s="98"/>
    </row>
    <row r="16" spans="1:19" ht="18.75" x14ac:dyDescent="0.25">
      <c r="A16" s="466" t="s">
        <v>518</v>
      </c>
      <c r="B16" s="466"/>
      <c r="C16" s="470">
        <v>3118</v>
      </c>
      <c r="D16" s="470"/>
      <c r="E16" s="40"/>
      <c r="F16" s="40"/>
      <c r="G16" s="40"/>
      <c r="H16" s="40"/>
      <c r="I16" s="40"/>
      <c r="J16" s="40"/>
      <c r="K16" s="40"/>
      <c r="L16" s="40"/>
      <c r="M16" s="98"/>
      <c r="N16" s="98"/>
      <c r="O16" s="98"/>
      <c r="P16" s="98"/>
      <c r="Q16" s="98"/>
    </row>
    <row r="17" spans="1:19" x14ac:dyDescent="0.25">
      <c r="A17" s="94"/>
      <c r="B17" s="11"/>
      <c r="C17" s="266"/>
      <c r="D17" s="40"/>
      <c r="E17" s="40"/>
      <c r="F17" s="40"/>
      <c r="G17" s="40"/>
      <c r="H17" s="40"/>
      <c r="I17" s="40"/>
      <c r="J17" s="40"/>
      <c r="K17" s="40"/>
      <c r="L17" s="40"/>
      <c r="M17" s="98"/>
      <c r="N17" s="98"/>
      <c r="O17" s="98"/>
      <c r="P17" s="98"/>
      <c r="Q17" s="98"/>
    </row>
    <row r="18" spans="1:19" x14ac:dyDescent="0.25">
      <c r="A18" s="94"/>
      <c r="B18" s="94"/>
      <c r="C18" s="120"/>
      <c r="D18" s="40"/>
      <c r="E18" s="40"/>
      <c r="F18" s="40"/>
      <c r="G18" s="40"/>
      <c r="H18" s="40"/>
      <c r="I18" s="40"/>
      <c r="J18" s="40"/>
      <c r="K18" s="40"/>
      <c r="L18" s="40"/>
      <c r="M18" s="98"/>
      <c r="N18" s="98"/>
      <c r="O18" s="98"/>
      <c r="P18" s="98"/>
      <c r="Q18" s="98"/>
    </row>
    <row r="19" spans="1:19" x14ac:dyDescent="0.25">
      <c r="A19" s="295"/>
      <c r="B19" s="295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98"/>
      <c r="N19" s="98"/>
      <c r="O19" s="98"/>
      <c r="P19" s="98"/>
      <c r="Q19" s="98"/>
    </row>
    <row r="20" spans="1:19" x14ac:dyDescent="0.25">
      <c r="A20" s="47"/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98"/>
      <c r="N20" s="98"/>
      <c r="O20" s="98"/>
      <c r="P20" s="98"/>
      <c r="Q20" s="98"/>
    </row>
    <row r="21" spans="1:19" ht="12.75" customHeight="1" x14ac:dyDescent="0.25">
      <c r="A21" s="43"/>
      <c r="B21" s="69" t="s">
        <v>559</v>
      </c>
      <c r="C21" s="70" t="s">
        <v>574</v>
      </c>
      <c r="D21" s="99"/>
      <c r="E21" s="47"/>
      <c r="F21" s="47"/>
      <c r="G21" s="359" t="s">
        <v>894</v>
      </c>
      <c r="H21" s="366"/>
      <c r="I21" s="366"/>
      <c r="J21" s="366"/>
      <c r="K21" s="366"/>
      <c r="L21" s="367"/>
      <c r="M21" s="98"/>
      <c r="N21" s="98"/>
      <c r="O21" s="98"/>
      <c r="P21" s="98"/>
      <c r="Q21" s="98"/>
    </row>
    <row r="22" spans="1:19" x14ac:dyDescent="0.25">
      <c r="A22" s="43"/>
      <c r="B22" s="71" t="s">
        <v>421</v>
      </c>
      <c r="C22" s="72"/>
      <c r="D22" s="99"/>
      <c r="E22" s="47"/>
      <c r="F22" s="47"/>
      <c r="G22" s="318" t="s">
        <v>895</v>
      </c>
      <c r="H22" s="318"/>
      <c r="I22" s="318"/>
      <c r="J22" s="318"/>
      <c r="K22" s="318"/>
      <c r="L22" s="49">
        <v>-2</v>
      </c>
      <c r="M22" s="98"/>
      <c r="N22" s="98"/>
      <c r="O22" s="98"/>
      <c r="P22" s="98"/>
      <c r="Q22" s="98"/>
      <c r="R22" s="98"/>
      <c r="S22" s="98"/>
    </row>
    <row r="23" spans="1:19" ht="16.5" thickBot="1" x14ac:dyDescent="0.3">
      <c r="A23" s="48"/>
      <c r="B23" s="79" t="s">
        <v>480</v>
      </c>
      <c r="C23" s="100" t="s">
        <v>575</v>
      </c>
      <c r="D23" s="101"/>
      <c r="E23" s="47"/>
      <c r="F23" s="47"/>
      <c r="G23" s="318" t="s">
        <v>897</v>
      </c>
      <c r="H23" s="318"/>
      <c r="I23" s="318"/>
      <c r="J23" s="318"/>
      <c r="K23" s="318"/>
      <c r="L23" s="49">
        <v>-3</v>
      </c>
      <c r="M23" s="98"/>
      <c r="N23" s="98"/>
      <c r="O23" s="98"/>
      <c r="P23" s="98"/>
      <c r="Q23" s="98"/>
      <c r="R23" s="98"/>
    </row>
    <row r="24" spans="1:19" ht="17.25" thickTop="1" thickBot="1" x14ac:dyDescent="0.3">
      <c r="A24" s="48"/>
      <c r="B24" s="102"/>
      <c r="C24" s="103" t="str">
        <f>IF(B24=0," ",(B24/40)-2.75)</f>
        <v xml:space="preserve"> </v>
      </c>
      <c r="D24" s="104"/>
      <c r="E24" s="47"/>
      <c r="F24" s="47"/>
      <c r="G24" s="318" t="s">
        <v>896</v>
      </c>
      <c r="H24" s="318"/>
      <c r="I24" s="318"/>
      <c r="J24" s="318"/>
      <c r="K24" s="318"/>
      <c r="L24" s="49">
        <v>-5</v>
      </c>
      <c r="M24" s="98"/>
      <c r="N24" s="98"/>
      <c r="O24" s="98"/>
      <c r="P24" s="98"/>
      <c r="Q24" s="98"/>
      <c r="R24" s="98"/>
    </row>
    <row r="25" spans="1:19" ht="16.5" thickTop="1" x14ac:dyDescent="0.25">
      <c r="A25" s="48"/>
      <c r="B25" s="84" t="s">
        <v>481</v>
      </c>
      <c r="C25" s="105">
        <v>-0.5</v>
      </c>
      <c r="D25" s="101"/>
      <c r="E25" s="47"/>
      <c r="F25" s="47"/>
      <c r="G25" s="318" t="s">
        <v>898</v>
      </c>
      <c r="H25" s="318"/>
      <c r="I25" s="318"/>
      <c r="J25" s="318"/>
      <c r="K25" s="318"/>
      <c r="L25" s="49">
        <v>-5</v>
      </c>
      <c r="M25" s="98"/>
      <c r="N25" s="98"/>
      <c r="O25" s="98"/>
      <c r="P25" s="98"/>
      <c r="Q25" s="98"/>
      <c r="R25" s="98"/>
    </row>
    <row r="26" spans="1:19" x14ac:dyDescent="0.25">
      <c r="A26" s="48"/>
      <c r="B26" s="48"/>
      <c r="C26" s="48"/>
      <c r="D26" s="48"/>
      <c r="E26" s="47"/>
      <c r="F26" s="47"/>
      <c r="G26" s="318" t="s">
        <v>901</v>
      </c>
      <c r="H26" s="318"/>
      <c r="I26" s="318"/>
      <c r="J26" s="318"/>
      <c r="K26" s="318"/>
      <c r="L26" s="49">
        <v>-5</v>
      </c>
      <c r="M26" s="98"/>
      <c r="N26" s="98"/>
      <c r="O26" s="98"/>
      <c r="P26" s="98"/>
      <c r="Q26" s="98"/>
      <c r="R26" s="98"/>
    </row>
    <row r="27" spans="1:19" x14ac:dyDescent="0.25">
      <c r="A27" s="48"/>
      <c r="B27" s="48"/>
      <c r="C27" s="48"/>
      <c r="D27" s="48"/>
      <c r="E27" s="47"/>
      <c r="F27" s="47"/>
      <c r="G27" s="318" t="s">
        <v>899</v>
      </c>
      <c r="H27" s="318"/>
      <c r="I27" s="318"/>
      <c r="J27" s="318"/>
      <c r="K27" s="318"/>
      <c r="L27" s="49">
        <v>-15</v>
      </c>
      <c r="M27" s="98"/>
      <c r="N27" s="98"/>
      <c r="O27" s="98"/>
      <c r="P27" s="98"/>
      <c r="Q27" s="98"/>
      <c r="R27" s="98"/>
    </row>
    <row r="28" spans="1:19" x14ac:dyDescent="0.25">
      <c r="A28" s="295" t="s">
        <v>889</v>
      </c>
      <c r="B28" s="295"/>
      <c r="C28" s="114" t="s">
        <v>589</v>
      </c>
      <c r="D28" s="48"/>
      <c r="E28" s="47"/>
      <c r="F28" s="47"/>
      <c r="G28" s="318" t="s">
        <v>483</v>
      </c>
      <c r="H28" s="318"/>
      <c r="I28" s="318"/>
      <c r="J28" s="318"/>
      <c r="K28" s="318"/>
      <c r="L28" s="49">
        <v>-50</v>
      </c>
      <c r="M28" s="98"/>
      <c r="N28" s="98"/>
      <c r="O28" s="98"/>
      <c r="P28" s="98"/>
      <c r="Q28" s="98"/>
      <c r="R28" s="98"/>
    </row>
    <row r="29" spans="1:19" x14ac:dyDescent="0.25">
      <c r="A29" s="48"/>
      <c r="B29" s="48"/>
      <c r="C29" s="48"/>
      <c r="D29" s="48"/>
      <c r="E29" s="47"/>
      <c r="F29" s="47"/>
      <c r="G29" s="318" t="s">
        <v>900</v>
      </c>
      <c r="H29" s="318"/>
      <c r="I29" s="318"/>
      <c r="J29" s="318"/>
      <c r="K29" s="318"/>
      <c r="L29" s="49">
        <v>-50</v>
      </c>
      <c r="M29" s="98"/>
      <c r="N29" s="98"/>
      <c r="O29" s="98"/>
      <c r="P29" s="98"/>
      <c r="Q29" s="98"/>
      <c r="R29" s="98"/>
    </row>
    <row r="30" spans="1:19" ht="12" customHeight="1" x14ac:dyDescent="0.25">
      <c r="A30" s="312" t="s">
        <v>604</v>
      </c>
      <c r="B30" s="312"/>
      <c r="C30" s="114" t="s">
        <v>585</v>
      </c>
      <c r="D30" s="48"/>
      <c r="E30" s="47"/>
      <c r="F30" s="47"/>
      <c r="G30" s="47"/>
      <c r="H30" s="47"/>
      <c r="I30" s="47"/>
      <c r="J30" s="47"/>
      <c r="K30" s="47"/>
      <c r="L30" s="47"/>
      <c r="M30" s="98"/>
      <c r="N30" s="98"/>
      <c r="O30" s="98"/>
      <c r="P30" s="98"/>
      <c r="Q30" s="98"/>
      <c r="R30" s="98"/>
      <c r="S30" s="98"/>
    </row>
    <row r="31" spans="1:19" x14ac:dyDescent="0.25">
      <c r="A31" s="44"/>
      <c r="B31" s="44"/>
      <c r="C31" s="48"/>
      <c r="D31" s="48"/>
      <c r="E31" s="40"/>
      <c r="F31" s="48"/>
      <c r="G31" s="48"/>
      <c r="H31" s="47"/>
      <c r="I31" s="47"/>
      <c r="J31" s="47"/>
      <c r="K31" s="47"/>
      <c r="L31" s="47"/>
      <c r="M31" s="98"/>
      <c r="N31" s="98"/>
      <c r="O31" s="98"/>
      <c r="P31" s="98"/>
      <c r="Q31" s="98"/>
      <c r="R31" s="98"/>
      <c r="S31" s="98"/>
    </row>
    <row r="32" spans="1:19" x14ac:dyDescent="0.25">
      <c r="A32" s="312" t="s">
        <v>760</v>
      </c>
      <c r="B32" s="312"/>
      <c r="C32" s="114"/>
      <c r="D32" s="48"/>
      <c r="E32" s="47"/>
      <c r="F32" s="47"/>
      <c r="G32" s="47"/>
      <c r="H32" s="47"/>
      <c r="I32" s="47"/>
      <c r="J32" s="47"/>
      <c r="K32" s="47"/>
      <c r="L32" s="47"/>
      <c r="M32" s="98"/>
      <c r="N32" s="98"/>
      <c r="O32" s="98"/>
      <c r="P32" s="98"/>
      <c r="Q32" s="98"/>
      <c r="R32" s="98"/>
      <c r="S32" s="98"/>
    </row>
    <row r="33" spans="1:19" x14ac:dyDescent="0.25">
      <c r="A33" s="312"/>
      <c r="B33" s="312"/>
      <c r="C33" s="304"/>
      <c r="D33" s="304"/>
      <c r="E33" s="44"/>
      <c r="F33" s="48"/>
      <c r="G33" s="48"/>
      <c r="H33" s="47"/>
      <c r="I33" s="47"/>
      <c r="J33" s="47"/>
      <c r="K33" s="47"/>
      <c r="L33" s="47"/>
      <c r="M33" s="48"/>
      <c r="N33" s="98"/>
      <c r="O33" s="98"/>
      <c r="P33" s="98"/>
      <c r="Q33" s="98"/>
      <c r="R33" s="98"/>
      <c r="S33" s="98"/>
    </row>
    <row r="34" spans="1:19" x14ac:dyDescent="0.25">
      <c r="A34" s="47"/>
      <c r="B34" s="47"/>
      <c r="C34" s="47"/>
      <c r="D34" s="47"/>
      <c r="E34" s="47"/>
      <c r="F34" s="47"/>
      <c r="G34" s="47"/>
      <c r="H34" s="47"/>
      <c r="I34" s="451" t="s">
        <v>533</v>
      </c>
      <c r="J34" s="451"/>
      <c r="K34" s="451"/>
      <c r="L34" s="451"/>
      <c r="M34" s="98"/>
      <c r="N34" s="98"/>
      <c r="O34" s="98"/>
      <c r="P34" s="98"/>
      <c r="Q34" s="98"/>
      <c r="R34" s="98"/>
      <c r="S34" s="98"/>
    </row>
    <row r="35" spans="1:19" x14ac:dyDescent="0.25">
      <c r="A35" s="60" t="s">
        <v>821</v>
      </c>
      <c r="B35" s="53" t="s">
        <v>602</v>
      </c>
      <c r="C35" s="53" t="s">
        <v>759</v>
      </c>
      <c r="D35" s="53" t="s">
        <v>882</v>
      </c>
      <c r="E35" s="53" t="s">
        <v>607</v>
      </c>
      <c r="F35" s="54" t="s">
        <v>603</v>
      </c>
      <c r="G35" s="53" t="s">
        <v>551</v>
      </c>
      <c r="H35" s="1"/>
      <c r="I35" s="55" t="s">
        <v>528</v>
      </c>
      <c r="J35" s="55" t="s">
        <v>882</v>
      </c>
      <c r="K35" s="55" t="s">
        <v>529</v>
      </c>
      <c r="L35" s="55" t="s">
        <v>882</v>
      </c>
      <c r="M35" s="98"/>
      <c r="N35" s="98"/>
      <c r="O35" s="98"/>
      <c r="P35" s="98"/>
      <c r="Q35" s="98"/>
      <c r="R35" s="98"/>
    </row>
    <row r="36" spans="1:19" x14ac:dyDescent="0.25">
      <c r="A36" s="60" t="s">
        <v>881</v>
      </c>
      <c r="B36" s="56">
        <v>-1.2</v>
      </c>
      <c r="C36" s="56"/>
      <c r="D36" s="56">
        <f>C36-B36</f>
        <v>1.2</v>
      </c>
      <c r="E36" s="59"/>
      <c r="F36" s="56"/>
      <c r="G36" s="56"/>
      <c r="H36" s="1" t="s">
        <v>881</v>
      </c>
      <c r="I36" s="58"/>
      <c r="J36" s="59" t="str">
        <f>IF(I36=0, " ", I36-B36)</f>
        <v xml:space="preserve"> </v>
      </c>
      <c r="K36" s="58"/>
      <c r="L36" s="56" t="str">
        <f>IF(K36=0, " ", K36-B36)</f>
        <v xml:space="preserve"> </v>
      </c>
      <c r="M36" s="106"/>
      <c r="N36" s="106"/>
    </row>
    <row r="37" spans="1:19" x14ac:dyDescent="0.25">
      <c r="A37" s="60" t="s">
        <v>605</v>
      </c>
      <c r="B37" s="56">
        <v>1</v>
      </c>
      <c r="C37" s="56"/>
      <c r="D37" s="56">
        <f t="shared" ref="D37:D38" si="0">C37-B37</f>
        <v>-1</v>
      </c>
      <c r="E37" s="59"/>
      <c r="F37" s="56"/>
      <c r="G37" s="56"/>
      <c r="H37" s="1" t="s">
        <v>530</v>
      </c>
      <c r="I37" s="58"/>
      <c r="J37" s="59" t="str">
        <f t="shared" ref="J37:J38" si="1">IF(I37=0, " ", I37-B37)</f>
        <v xml:space="preserve"> </v>
      </c>
      <c r="K37" s="56"/>
      <c r="L37" s="56" t="str">
        <f t="shared" ref="L37:L38" si="2">IF(K37=0, " ", K37-B37)</f>
        <v xml:space="preserve"> </v>
      </c>
      <c r="M37" s="106"/>
      <c r="N37" s="106"/>
    </row>
    <row r="38" spans="1:19" x14ac:dyDescent="0.25">
      <c r="A38" s="60" t="s">
        <v>606</v>
      </c>
      <c r="B38" s="56"/>
      <c r="C38" s="56"/>
      <c r="D38" s="56">
        <f t="shared" si="0"/>
        <v>0</v>
      </c>
      <c r="E38" s="59"/>
      <c r="F38" s="56"/>
      <c r="G38" s="56"/>
      <c r="H38" s="60" t="s">
        <v>531</v>
      </c>
      <c r="I38" s="58"/>
      <c r="J38" s="59" t="str">
        <f t="shared" si="1"/>
        <v xml:space="preserve"> </v>
      </c>
      <c r="K38" s="56"/>
      <c r="L38" s="56" t="str">
        <f t="shared" si="2"/>
        <v xml:space="preserve"> </v>
      </c>
      <c r="M38" s="106"/>
      <c r="N38" s="106"/>
    </row>
    <row r="39" spans="1:19" x14ac:dyDescent="0.25">
      <c r="A39" s="48"/>
      <c r="B39" s="48"/>
      <c r="C39" s="48"/>
      <c r="D39" s="48"/>
      <c r="E39" s="47"/>
      <c r="F39" s="47"/>
      <c r="G39" s="61">
        <f>COUNTIF(G36:G38, "Fail")</f>
        <v>0</v>
      </c>
      <c r="H39" s="47"/>
      <c r="I39" s="40"/>
      <c r="J39" s="40"/>
      <c r="K39" s="40"/>
      <c r="L39" s="48"/>
      <c r="M39" s="106"/>
      <c r="N39" s="106"/>
    </row>
    <row r="40" spans="1:19" x14ac:dyDescent="0.25">
      <c r="A40" s="47"/>
      <c r="B40" s="47"/>
      <c r="C40" s="47"/>
      <c r="D40" s="47"/>
      <c r="E40" s="47"/>
      <c r="F40" s="47"/>
      <c r="G40" s="47"/>
      <c r="H40" s="47"/>
      <c r="I40" s="47"/>
      <c r="J40" s="47"/>
      <c r="K40" s="47"/>
      <c r="L40" s="47"/>
      <c r="M40" s="106"/>
      <c r="N40" s="106"/>
    </row>
    <row r="41" spans="1:19" x14ac:dyDescent="0.25">
      <c r="A41" s="1" t="s">
        <v>608</v>
      </c>
      <c r="B41" s="53" t="s">
        <v>821</v>
      </c>
      <c r="C41" s="53" t="s">
        <v>885</v>
      </c>
      <c r="D41" s="53" t="s">
        <v>886</v>
      </c>
      <c r="E41" s="53" t="s">
        <v>883</v>
      </c>
      <c r="F41" s="53" t="s">
        <v>684</v>
      </c>
      <c r="G41" s="53" t="s">
        <v>551</v>
      </c>
      <c r="H41" s="53" t="s">
        <v>820</v>
      </c>
      <c r="I41" s="53" t="s">
        <v>884</v>
      </c>
      <c r="J41" s="53" t="s">
        <v>609</v>
      </c>
      <c r="K41" s="53" t="s">
        <v>765</v>
      </c>
      <c r="L41" s="53" t="s">
        <v>890</v>
      </c>
      <c r="M41" s="107"/>
      <c r="N41" s="40"/>
    </row>
    <row r="42" spans="1:19" x14ac:dyDescent="0.25">
      <c r="A42" s="1" t="s">
        <v>611</v>
      </c>
      <c r="B42" s="56"/>
      <c r="C42" s="56"/>
      <c r="D42" s="56"/>
      <c r="E42" s="56"/>
      <c r="F42" s="20"/>
      <c r="G42" s="56"/>
      <c r="H42" s="66"/>
      <c r="I42" s="56"/>
      <c r="J42" s="56"/>
      <c r="K42" s="56"/>
      <c r="L42" s="65"/>
      <c r="M42" s="106"/>
      <c r="N42" s="106"/>
    </row>
    <row r="43" spans="1:19" x14ac:dyDescent="0.25">
      <c r="A43" s="1" t="s">
        <v>610</v>
      </c>
      <c r="B43" s="56"/>
      <c r="C43" s="56"/>
      <c r="D43" s="56"/>
      <c r="E43" s="56"/>
      <c r="F43" s="20"/>
      <c r="G43" s="56"/>
      <c r="H43" s="66"/>
      <c r="I43" s="56"/>
      <c r="J43" s="56"/>
      <c r="K43" s="56"/>
      <c r="L43" s="65"/>
      <c r="M43" s="106"/>
      <c r="N43" s="106"/>
    </row>
    <row r="44" spans="1:19" x14ac:dyDescent="0.25">
      <c r="A44" s="60" t="s">
        <v>824</v>
      </c>
      <c r="B44" s="56"/>
      <c r="C44" s="56"/>
      <c r="D44" s="56"/>
      <c r="E44" s="56"/>
      <c r="F44" s="20"/>
      <c r="G44" s="56"/>
      <c r="H44" s="66"/>
      <c r="I44" s="56"/>
      <c r="J44" s="56"/>
      <c r="K44" s="56"/>
      <c r="L44" s="65"/>
      <c r="M44" s="106"/>
      <c r="N44" s="106"/>
    </row>
    <row r="45" spans="1:19" x14ac:dyDescent="0.25">
      <c r="A45" s="60" t="s">
        <v>825</v>
      </c>
      <c r="B45" s="56"/>
      <c r="C45" s="56"/>
      <c r="D45" s="56"/>
      <c r="E45" s="56"/>
      <c r="F45" s="20"/>
      <c r="G45" s="56"/>
      <c r="H45" s="66"/>
      <c r="I45" s="56"/>
      <c r="J45" s="56"/>
      <c r="K45" s="56"/>
      <c r="L45" s="65"/>
      <c r="M45" s="106"/>
      <c r="N45" s="106"/>
    </row>
    <row r="46" spans="1:19" x14ac:dyDescent="0.25">
      <c r="A46" s="60" t="s">
        <v>890</v>
      </c>
      <c r="B46" s="56"/>
      <c r="C46" s="56"/>
      <c r="D46" s="56"/>
      <c r="E46" s="56"/>
      <c r="F46" s="20"/>
      <c r="G46" s="56"/>
      <c r="H46" s="66"/>
      <c r="I46" s="56"/>
      <c r="J46" s="56"/>
      <c r="K46" s="56"/>
      <c r="L46" s="65"/>
      <c r="M46" s="106"/>
      <c r="N46" s="106"/>
    </row>
    <row r="47" spans="1:19" x14ac:dyDescent="0.25">
      <c r="A47" s="60" t="s">
        <v>890</v>
      </c>
      <c r="B47" s="56"/>
      <c r="C47" s="56"/>
      <c r="D47" s="56"/>
      <c r="E47" s="56"/>
      <c r="F47" s="20"/>
      <c r="G47" s="56"/>
      <c r="H47" s="66"/>
      <c r="I47" s="56"/>
      <c r="J47" s="56"/>
      <c r="K47" s="56"/>
      <c r="L47" s="65"/>
      <c r="M47" s="106"/>
      <c r="N47" s="106"/>
    </row>
    <row r="48" spans="1:19" x14ac:dyDescent="0.25">
      <c r="A48" s="48"/>
      <c r="B48" s="48"/>
      <c r="C48" s="48"/>
      <c r="D48" s="48"/>
      <c r="E48" s="48"/>
      <c r="F48" s="48"/>
      <c r="G48" s="61">
        <f>COUNTIF(G42:G47, "Fail")</f>
        <v>0</v>
      </c>
      <c r="H48" s="48"/>
      <c r="I48" s="48"/>
      <c r="J48" s="48"/>
      <c r="K48" s="48"/>
      <c r="L48" s="48"/>
      <c r="M48" s="106"/>
      <c r="N48" s="106"/>
    </row>
    <row r="49" spans="1:14" x14ac:dyDescent="0.25">
      <c r="A49" s="60"/>
      <c r="B49" s="53" t="s">
        <v>821</v>
      </c>
      <c r="C49" s="53" t="s">
        <v>813</v>
      </c>
      <c r="D49" s="53" t="s">
        <v>738</v>
      </c>
      <c r="E49" s="53" t="s">
        <v>614</v>
      </c>
      <c r="F49" s="67" t="s">
        <v>603</v>
      </c>
      <c r="G49" s="67" t="s">
        <v>551</v>
      </c>
      <c r="H49" s="47"/>
      <c r="I49" s="47"/>
      <c r="J49" s="55" t="s">
        <v>906</v>
      </c>
      <c r="K49" s="55" t="s">
        <v>905</v>
      </c>
      <c r="L49" s="55" t="s">
        <v>595</v>
      </c>
      <c r="M49" s="106"/>
      <c r="N49" s="106"/>
    </row>
    <row r="50" spans="1:14" x14ac:dyDescent="0.25">
      <c r="A50" s="60" t="s">
        <v>612</v>
      </c>
      <c r="B50" s="56"/>
      <c r="C50" s="56"/>
      <c r="D50" s="56"/>
      <c r="E50" s="56"/>
      <c r="F50" s="56"/>
      <c r="G50" s="56"/>
      <c r="H50" s="312" t="s">
        <v>761</v>
      </c>
      <c r="I50" s="449"/>
      <c r="J50" s="56"/>
      <c r="K50" s="56"/>
      <c r="L50" s="50">
        <f>K50-J50</f>
        <v>0</v>
      </c>
      <c r="M50" s="106"/>
      <c r="N50" s="106"/>
    </row>
    <row r="51" spans="1:14" x14ac:dyDescent="0.25">
      <c r="A51" s="60" t="s">
        <v>613</v>
      </c>
      <c r="B51" s="56"/>
      <c r="C51" s="56"/>
      <c r="D51" s="56"/>
      <c r="E51" s="56"/>
      <c r="F51" s="56"/>
      <c r="G51" s="56"/>
      <c r="H51" s="295" t="s">
        <v>762</v>
      </c>
      <c r="I51" s="296"/>
      <c r="J51" s="56"/>
      <c r="K51" s="56"/>
      <c r="L51" s="50">
        <f>ABS(J51)+ABS(K51)</f>
        <v>0</v>
      </c>
      <c r="M51" s="106"/>
      <c r="N51" s="106"/>
    </row>
    <row r="52" spans="1:14" x14ac:dyDescent="0.25">
      <c r="A52" s="60" t="s">
        <v>887</v>
      </c>
      <c r="B52" s="56"/>
      <c r="C52" s="56"/>
      <c r="D52" s="56"/>
      <c r="E52" s="56"/>
      <c r="F52" s="56"/>
      <c r="G52" s="56"/>
      <c r="H52" s="47"/>
      <c r="I52" s="47"/>
      <c r="J52" s="47"/>
      <c r="K52" s="47"/>
      <c r="L52" s="47"/>
      <c r="M52" s="106"/>
      <c r="N52" s="106"/>
    </row>
    <row r="53" spans="1:14" x14ac:dyDescent="0.25">
      <c r="A53" s="44"/>
      <c r="B53" s="68"/>
      <c r="C53" s="68"/>
      <c r="D53" s="68"/>
      <c r="E53" s="68"/>
      <c r="F53" s="48"/>
      <c r="G53" s="61">
        <f>COUNTIF(G50:G52, "Fail")</f>
        <v>0</v>
      </c>
      <c r="H53" s="47"/>
      <c r="I53" s="47"/>
      <c r="J53" s="299" t="s">
        <v>790</v>
      </c>
      <c r="K53" s="301"/>
      <c r="L53" s="44"/>
      <c r="M53" s="106"/>
      <c r="N53" s="106"/>
    </row>
    <row r="54" spans="1:14" x14ac:dyDescent="0.25">
      <c r="A54" s="47"/>
      <c r="B54" s="299" t="s">
        <v>379</v>
      </c>
      <c r="C54" s="300"/>
      <c r="D54" s="301"/>
      <c r="E54" s="299" t="s">
        <v>871</v>
      </c>
      <c r="F54" s="300"/>
      <c r="G54" s="301"/>
      <c r="H54" s="312" t="s">
        <v>791</v>
      </c>
      <c r="I54" s="312"/>
      <c r="J54" s="297" t="str">
        <f>IF(L50= 0, " ",K57/( 1.08*L50))</f>
        <v xml:space="preserve"> </v>
      </c>
      <c r="K54" s="298"/>
      <c r="L54" s="48"/>
      <c r="M54" s="106"/>
      <c r="N54" s="106"/>
    </row>
    <row r="55" spans="1:14" x14ac:dyDescent="0.25">
      <c r="A55" s="40"/>
      <c r="B55" s="336"/>
      <c r="C55" s="337"/>
      <c r="D55" s="338"/>
      <c r="E55" s="336"/>
      <c r="F55" s="337"/>
      <c r="G55" s="338"/>
      <c r="H55" s="295" t="s">
        <v>792</v>
      </c>
      <c r="I55" s="295"/>
      <c r="J55" s="336"/>
      <c r="K55" s="338"/>
      <c r="L55" s="48"/>
      <c r="M55" s="106"/>
      <c r="N55" s="106"/>
    </row>
    <row r="56" spans="1:14" x14ac:dyDescent="0.25">
      <c r="A56" s="40"/>
      <c r="B56" s="336"/>
      <c r="C56" s="337"/>
      <c r="D56" s="338"/>
      <c r="E56" s="336"/>
      <c r="F56" s="337"/>
      <c r="G56" s="338"/>
      <c r="H56" s="47"/>
      <c r="I56" s="47"/>
      <c r="J56" s="47"/>
      <c r="K56" s="47"/>
      <c r="L56" s="47"/>
      <c r="M56" s="106"/>
      <c r="N56" s="106"/>
    </row>
    <row r="57" spans="1:14" s="106" customFormat="1" x14ac:dyDescent="0.25">
      <c r="A57" s="40"/>
      <c r="B57" s="48"/>
      <c r="C57" s="48"/>
      <c r="D57" s="48"/>
      <c r="E57" s="47"/>
      <c r="F57" s="47"/>
      <c r="G57" s="47"/>
      <c r="H57" s="10"/>
      <c r="I57" s="10"/>
      <c r="J57" s="39" t="s">
        <v>547</v>
      </c>
      <c r="K57" s="56"/>
      <c r="L57" s="47"/>
    </row>
    <row r="58" spans="1:14" x14ac:dyDescent="0.2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106"/>
      <c r="N58" s="106"/>
    </row>
    <row r="59" spans="1:14" x14ac:dyDescent="0.25">
      <c r="A59" s="299" t="s">
        <v>525</v>
      </c>
      <c r="B59" s="300"/>
      <c r="C59" s="300"/>
      <c r="D59" s="300"/>
      <c r="E59" s="301"/>
      <c r="F59" s="47"/>
      <c r="G59" s="299" t="s">
        <v>526</v>
      </c>
      <c r="H59" s="300"/>
      <c r="I59" s="300"/>
      <c r="J59" s="301"/>
      <c r="K59" s="47"/>
      <c r="L59" s="47"/>
      <c r="M59" s="106"/>
      <c r="N59" s="106"/>
    </row>
    <row r="60" spans="1:14" x14ac:dyDescent="0.25">
      <c r="A60" s="73"/>
      <c r="B60" s="74" t="s">
        <v>663</v>
      </c>
      <c r="C60" s="75" t="s">
        <v>662</v>
      </c>
      <c r="D60" s="73" t="s">
        <v>804</v>
      </c>
      <c r="E60" s="73" t="s">
        <v>690</v>
      </c>
      <c r="F60" s="76"/>
      <c r="G60" s="76"/>
      <c r="H60" s="75" t="s">
        <v>803</v>
      </c>
      <c r="I60" s="73" t="s">
        <v>804</v>
      </c>
      <c r="J60" s="73" t="s">
        <v>600</v>
      </c>
      <c r="K60" s="47"/>
      <c r="L60" s="47"/>
      <c r="M60" s="106"/>
      <c r="N60" s="106"/>
    </row>
    <row r="61" spans="1:14" ht="16.5" thickBot="1" x14ac:dyDescent="0.3">
      <c r="A61" s="49" t="s">
        <v>688</v>
      </c>
      <c r="B61" s="77">
        <f>'Test In'!C39</f>
        <v>0.1</v>
      </c>
      <c r="C61" s="77">
        <f>'Test In'!G39</f>
        <v>-65</v>
      </c>
      <c r="D61" s="77" t="str">
        <f>'Test In'!E39</f>
        <v>Open</v>
      </c>
      <c r="E61" s="78">
        <f>'Test In'!I39</f>
        <v>6500</v>
      </c>
      <c r="F61" s="76"/>
      <c r="G61" s="49" t="s">
        <v>688</v>
      </c>
      <c r="H61" s="56" t="str">
        <f>'Test In'!J53</f>
        <v xml:space="preserve"> </v>
      </c>
      <c r="I61" s="50">
        <f>'Test In'!J51</f>
        <v>0</v>
      </c>
      <c r="J61" s="79" t="str">
        <f>'Test In'!J54</f>
        <v xml:space="preserve"> </v>
      </c>
      <c r="K61" s="47"/>
      <c r="L61" s="47"/>
      <c r="M61" s="106"/>
      <c r="N61" s="106"/>
    </row>
    <row r="62" spans="1:14" ht="17.25" thickTop="1" thickBot="1" x14ac:dyDescent="0.3">
      <c r="A62" s="49" t="s">
        <v>689</v>
      </c>
      <c r="B62" s="108"/>
      <c r="C62" s="109"/>
      <c r="D62" s="110"/>
      <c r="E62" s="111"/>
      <c r="F62" s="44"/>
      <c r="G62" s="49" t="s">
        <v>689</v>
      </c>
      <c r="H62" s="56"/>
      <c r="I62" s="59"/>
      <c r="J62" s="102"/>
      <c r="K62" s="47"/>
      <c r="L62" s="47"/>
      <c r="M62" s="106"/>
      <c r="N62" s="106"/>
    </row>
    <row r="63" spans="1:14" ht="16.5" thickTop="1" x14ac:dyDescent="0.25">
      <c r="A63" s="474" t="s">
        <v>747</v>
      </c>
      <c r="B63" s="475"/>
      <c r="C63" s="475"/>
      <c r="D63" s="476"/>
      <c r="E63" s="80" t="str">
        <f>IF(E62=0," ",IF(E61=0," ",E61-E62))</f>
        <v xml:space="preserve"> </v>
      </c>
      <c r="F63" s="81"/>
      <c r="G63" s="82" t="s">
        <v>104</v>
      </c>
      <c r="H63" s="83" t="str">
        <f>IF(J62=0," ",J63/'Test In'!F22)</f>
        <v xml:space="preserve"> </v>
      </c>
      <c r="I63" s="49" t="s">
        <v>103</v>
      </c>
      <c r="J63" s="84" t="e">
        <f>J61-J62</f>
        <v>#VALUE!</v>
      </c>
      <c r="K63" s="47"/>
      <c r="L63" s="47"/>
      <c r="M63" s="106"/>
      <c r="N63" s="106"/>
    </row>
    <row r="64" spans="1:14" x14ac:dyDescent="0.25">
      <c r="A64" s="270" t="s">
        <v>36</v>
      </c>
      <c r="B64" s="77">
        <f>'Test In'!G35</f>
        <v>666.86958333333337</v>
      </c>
      <c r="C64" s="396" t="s">
        <v>691</v>
      </c>
      <c r="D64" s="314"/>
      <c r="E64" s="77">
        <f>'Test In'!F35</f>
        <v>952.67083333333346</v>
      </c>
      <c r="F64" s="47"/>
      <c r="G64" s="313" t="s">
        <v>479</v>
      </c>
      <c r="H64" s="478"/>
      <c r="I64" s="479"/>
      <c r="J64" s="85" t="str">
        <f>IF(J62=0," ",IF(J61=0," ",IF(J63&lt;(150),"no ",IF(OR(J62&lt;=(0.1*'Test In'!F22),J62&lt;=(0.5*J61)),"yes","no"))))</f>
        <v xml:space="preserve"> </v>
      </c>
      <c r="K64" s="47"/>
      <c r="L64" s="47"/>
      <c r="M64" s="106"/>
      <c r="N64" s="106"/>
    </row>
    <row r="65" spans="1:14" x14ac:dyDescent="0.25">
      <c r="A65" s="474" t="s">
        <v>479</v>
      </c>
      <c r="B65" s="475"/>
      <c r="C65" s="475"/>
      <c r="D65" s="476"/>
      <c r="E65" s="77" t="str">
        <f>IF(E63=" ", " ", IF(E63&lt;=300,"No ","Yes"))</f>
        <v xml:space="preserve"> </v>
      </c>
      <c r="F65" s="47"/>
      <c r="G65" s="86" t="s">
        <v>488</v>
      </c>
      <c r="H65" s="58" t="str">
        <f>'Test In'!L54</f>
        <v xml:space="preserve"> </v>
      </c>
      <c r="I65" s="86" t="s">
        <v>302</v>
      </c>
      <c r="J65" s="83" t="e">
        <f>IF(H65=0," ",J63/H65)</f>
        <v>#VALUE!</v>
      </c>
      <c r="K65" s="47"/>
      <c r="L65" s="47"/>
      <c r="M65" s="106"/>
      <c r="N65" s="106"/>
    </row>
    <row r="66" spans="1:14" x14ac:dyDescent="0.25">
      <c r="A66" s="87" t="s">
        <v>756</v>
      </c>
      <c r="B66" s="49" t="s">
        <v>757</v>
      </c>
      <c r="C66" s="88">
        <f>'Test In'!J35</f>
        <v>42.506811989100818</v>
      </c>
      <c r="D66" s="49" t="s">
        <v>758</v>
      </c>
      <c r="E66" s="89" t="str">
        <f>IF(E62=0, " ", E62*60/'Test In'!B32)</f>
        <v xml:space="preserve"> </v>
      </c>
      <c r="F66" s="47"/>
      <c r="G66" s="38"/>
      <c r="H66" s="44"/>
      <c r="I66" s="90"/>
      <c r="J66" s="47"/>
      <c r="K66" s="47"/>
      <c r="L66" s="47"/>
      <c r="M66" s="106"/>
      <c r="N66" s="106"/>
    </row>
    <row r="67" spans="1:14" x14ac:dyDescent="0.25">
      <c r="A67" s="49" t="s">
        <v>743</v>
      </c>
      <c r="B67" s="49" t="s">
        <v>757</v>
      </c>
      <c r="C67" s="89">
        <f>IF('Quality Review EA'!C66=0," ",'Test In'!K35)</f>
        <v>2.3880231454551022</v>
      </c>
      <c r="D67" s="49" t="s">
        <v>689</v>
      </c>
      <c r="E67" s="89" t="str">
        <f>IF(E66=" "," ",(E66/('Test In'!D35)))</f>
        <v xml:space="preserve"> </v>
      </c>
      <c r="F67" s="47"/>
      <c r="G67" s="38"/>
      <c r="H67" s="44"/>
      <c r="I67" s="90"/>
      <c r="J67" s="47"/>
      <c r="K67" s="47"/>
      <c r="L67" s="47"/>
      <c r="M67" s="106"/>
      <c r="N67" s="106"/>
    </row>
    <row r="68" spans="1:14" x14ac:dyDescent="0.25">
      <c r="A68" s="474" t="s">
        <v>745</v>
      </c>
      <c r="B68" s="475"/>
      <c r="C68" s="475"/>
      <c r="D68" s="476"/>
      <c r="E68" s="77" t="str">
        <f>IF(E62=0, " ", E62/'Test In'!D35)</f>
        <v xml:space="preserve"> </v>
      </c>
      <c r="F68" s="47"/>
      <c r="G68" s="47"/>
      <c r="H68" s="47"/>
      <c r="I68" s="47"/>
      <c r="J68" s="47"/>
      <c r="K68" s="47"/>
      <c r="L68" s="47"/>
      <c r="M68" s="106"/>
      <c r="N68" s="106"/>
    </row>
    <row r="69" spans="1:14" x14ac:dyDescent="0.25">
      <c r="A69" s="313" t="s">
        <v>744</v>
      </c>
      <c r="B69" s="396"/>
      <c r="C69" s="396"/>
      <c r="D69" s="314"/>
      <c r="E69" s="77">
        <f>'Test In'!E35</f>
        <v>53.520833333333336</v>
      </c>
      <c r="F69" s="47"/>
      <c r="G69" s="47"/>
      <c r="H69" s="47"/>
      <c r="I69" s="47"/>
      <c r="J69" s="47"/>
      <c r="K69" s="47"/>
      <c r="L69" s="47"/>
      <c r="M69" s="106"/>
      <c r="N69" s="106"/>
    </row>
    <row r="70" spans="1:14" x14ac:dyDescent="0.25">
      <c r="A70" s="313" t="s">
        <v>746</v>
      </c>
      <c r="B70" s="396"/>
      <c r="C70" s="396"/>
      <c r="D70" s="314"/>
      <c r="E70" s="77" t="str">
        <f>IF(E68=0, " ", IF(E68&gt;E69,"none", (E69-E68)))</f>
        <v>none</v>
      </c>
      <c r="F70" s="47"/>
      <c r="G70" s="47"/>
      <c r="H70" s="47"/>
      <c r="I70" s="47"/>
      <c r="J70" s="47"/>
      <c r="K70" s="47"/>
      <c r="L70" s="47"/>
      <c r="M70" s="106"/>
      <c r="N70" s="106"/>
    </row>
    <row r="71" spans="1:14" x14ac:dyDescent="0.25">
      <c r="A71" s="49" t="s">
        <v>303</v>
      </c>
      <c r="B71" s="56">
        <f>'Test In'!L39</f>
        <v>1000</v>
      </c>
      <c r="C71" s="309" t="s">
        <v>302</v>
      </c>
      <c r="D71" s="309"/>
      <c r="E71" s="83" t="e">
        <f>IF(B71=0," ",E63/B71)</f>
        <v>#VALUE!</v>
      </c>
      <c r="F71" s="47"/>
      <c r="G71" s="47"/>
      <c r="H71" s="47"/>
      <c r="I71" s="47"/>
      <c r="J71" s="47"/>
      <c r="K71" s="47"/>
      <c r="L71" s="47"/>
      <c r="M71" s="106"/>
      <c r="N71" s="106"/>
    </row>
    <row r="72" spans="1:14" x14ac:dyDescent="0.25">
      <c r="A72" s="91" t="s">
        <v>378</v>
      </c>
      <c r="B72" s="56"/>
      <c r="C72" s="313" t="s">
        <v>793</v>
      </c>
      <c r="D72" s="314"/>
      <c r="E72" s="50" t="str">
        <f>IF(B72=0, " ", IF(E70=0, " ", (E70/B72)*24))</f>
        <v xml:space="preserve"> </v>
      </c>
      <c r="F72" s="47"/>
      <c r="G72" s="47"/>
      <c r="H72" s="47"/>
      <c r="I72" s="47"/>
      <c r="J72" s="47"/>
      <c r="K72" s="47"/>
      <c r="L72" s="47"/>
      <c r="M72" s="106"/>
      <c r="N72" s="106"/>
    </row>
    <row r="73" spans="1:14" x14ac:dyDescent="0.25">
      <c r="A73" s="47"/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106"/>
      <c r="N73" s="106"/>
    </row>
    <row r="74" spans="1:14" x14ac:dyDescent="0.25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106"/>
      <c r="N74" s="106"/>
    </row>
    <row r="75" spans="1:14" ht="20.25" x14ac:dyDescent="0.25">
      <c r="A75" s="477" t="s">
        <v>369</v>
      </c>
      <c r="B75" s="477"/>
      <c r="C75" s="477"/>
      <c r="D75" s="477"/>
      <c r="E75" s="477"/>
      <c r="F75" s="477"/>
      <c r="G75" s="477"/>
      <c r="H75" s="477"/>
      <c r="I75" s="477"/>
      <c r="J75" s="477"/>
      <c r="K75" s="477"/>
      <c r="L75" s="477"/>
      <c r="M75" s="106"/>
      <c r="N75" s="106"/>
    </row>
    <row r="76" spans="1:14" x14ac:dyDescent="0.25">
      <c r="A76" s="480"/>
      <c r="B76" s="480"/>
      <c r="C76" s="480"/>
      <c r="D76" s="480"/>
      <c r="E76" s="480"/>
      <c r="F76" s="480"/>
      <c r="G76" s="480"/>
      <c r="H76" s="480"/>
      <c r="I76" s="480"/>
      <c r="J76" s="480"/>
      <c r="K76" s="480"/>
      <c r="L76" s="480"/>
      <c r="M76" s="106"/>
      <c r="N76" s="106"/>
    </row>
    <row r="77" spans="1:14" x14ac:dyDescent="0.25">
      <c r="A77" s="480"/>
      <c r="B77" s="480"/>
      <c r="C77" s="480"/>
      <c r="D77" s="480"/>
      <c r="E77" s="480"/>
      <c r="F77" s="480"/>
      <c r="G77" s="480"/>
      <c r="H77" s="480"/>
      <c r="I77" s="480"/>
      <c r="J77" s="480"/>
      <c r="K77" s="480"/>
      <c r="L77" s="480"/>
      <c r="M77" s="106"/>
      <c r="N77" s="106"/>
    </row>
    <row r="78" spans="1:14" x14ac:dyDescent="0.25">
      <c r="A78" s="480"/>
      <c r="B78" s="480"/>
      <c r="C78" s="480"/>
      <c r="D78" s="480"/>
      <c r="E78" s="480"/>
      <c r="F78" s="480"/>
      <c r="G78" s="480"/>
      <c r="H78" s="480"/>
      <c r="I78" s="480"/>
      <c r="J78" s="480"/>
      <c r="K78" s="480"/>
      <c r="L78" s="480"/>
      <c r="M78" s="106"/>
      <c r="N78" s="106"/>
    </row>
    <row r="79" spans="1:14" x14ac:dyDescent="0.25">
      <c r="A79" s="480"/>
      <c r="B79" s="480"/>
      <c r="C79" s="480"/>
      <c r="D79" s="480"/>
      <c r="E79" s="480"/>
      <c r="F79" s="480"/>
      <c r="G79" s="480"/>
      <c r="H79" s="480"/>
      <c r="I79" s="480"/>
      <c r="J79" s="480"/>
      <c r="K79" s="480"/>
      <c r="L79" s="480"/>
      <c r="M79" s="106"/>
      <c r="N79" s="106"/>
    </row>
    <row r="80" spans="1:14" x14ac:dyDescent="0.25">
      <c r="A80" s="480"/>
      <c r="B80" s="480"/>
      <c r="C80" s="480"/>
      <c r="D80" s="480"/>
      <c r="E80" s="480"/>
      <c r="F80" s="480"/>
      <c r="G80" s="480"/>
      <c r="H80" s="480"/>
      <c r="I80" s="480"/>
      <c r="J80" s="480"/>
      <c r="K80" s="480"/>
      <c r="L80" s="480"/>
      <c r="M80" s="106"/>
      <c r="N80" s="106"/>
    </row>
    <row r="81" spans="1:14" x14ac:dyDescent="0.25">
      <c r="A81" s="480"/>
      <c r="B81" s="480"/>
      <c r="C81" s="480"/>
      <c r="D81" s="480"/>
      <c r="E81" s="480"/>
      <c r="F81" s="480"/>
      <c r="G81" s="480"/>
      <c r="H81" s="480"/>
      <c r="I81" s="480"/>
      <c r="J81" s="480"/>
      <c r="K81" s="480"/>
      <c r="L81" s="480"/>
      <c r="M81" s="106"/>
      <c r="N81" s="106"/>
    </row>
    <row r="82" spans="1:14" x14ac:dyDescent="0.25">
      <c r="A82" s="480"/>
      <c r="B82" s="480"/>
      <c r="C82" s="480"/>
      <c r="D82" s="480"/>
      <c r="E82" s="480"/>
      <c r="F82" s="480"/>
      <c r="G82" s="480"/>
      <c r="H82" s="480"/>
      <c r="I82" s="480"/>
      <c r="J82" s="480"/>
      <c r="K82" s="480"/>
      <c r="L82" s="480"/>
      <c r="M82" s="106"/>
      <c r="N82" s="106"/>
    </row>
    <row r="83" spans="1:14" x14ac:dyDescent="0.25">
      <c r="A83" s="480"/>
      <c r="B83" s="480"/>
      <c r="C83" s="480"/>
      <c r="D83" s="480"/>
      <c r="E83" s="480"/>
      <c r="F83" s="480"/>
      <c r="G83" s="480"/>
      <c r="H83" s="480"/>
      <c r="I83" s="480"/>
      <c r="J83" s="480"/>
      <c r="K83" s="480"/>
      <c r="L83" s="480"/>
      <c r="M83" s="106"/>
      <c r="N83" s="106"/>
    </row>
    <row r="84" spans="1:14" x14ac:dyDescent="0.25">
      <c r="A84" s="480"/>
      <c r="B84" s="480"/>
      <c r="C84" s="480"/>
      <c r="D84" s="480"/>
      <c r="E84" s="480"/>
      <c r="F84" s="480"/>
      <c r="G84" s="480"/>
      <c r="H84" s="480"/>
      <c r="I84" s="480"/>
      <c r="J84" s="480"/>
      <c r="K84" s="480"/>
      <c r="L84" s="480"/>
      <c r="M84" s="106"/>
      <c r="N84" s="106"/>
    </row>
    <row r="85" spans="1:14" x14ac:dyDescent="0.25">
      <c r="A85" s="480"/>
      <c r="B85" s="480"/>
      <c r="C85" s="480"/>
      <c r="D85" s="480"/>
      <c r="E85" s="480"/>
      <c r="F85" s="480"/>
      <c r="G85" s="480"/>
      <c r="H85" s="480"/>
      <c r="I85" s="480"/>
      <c r="J85" s="480"/>
      <c r="K85" s="480"/>
      <c r="L85" s="480"/>
      <c r="M85" s="106"/>
      <c r="N85" s="106"/>
    </row>
    <row r="86" spans="1:14" x14ac:dyDescent="0.25">
      <c r="A86" s="480"/>
      <c r="B86" s="480"/>
      <c r="C86" s="480"/>
      <c r="D86" s="480"/>
      <c r="E86" s="480"/>
      <c r="F86" s="480"/>
      <c r="G86" s="480"/>
      <c r="H86" s="480"/>
      <c r="I86" s="480"/>
      <c r="J86" s="480"/>
      <c r="K86" s="480"/>
      <c r="L86" s="480"/>
      <c r="M86" s="106"/>
      <c r="N86" s="106"/>
    </row>
    <row r="87" spans="1:14" x14ac:dyDescent="0.25">
      <c r="A87" s="480"/>
      <c r="B87" s="480"/>
      <c r="C87" s="480"/>
      <c r="D87" s="480"/>
      <c r="E87" s="480"/>
      <c r="F87" s="480"/>
      <c r="G87" s="480"/>
      <c r="H87" s="480"/>
      <c r="I87" s="480"/>
      <c r="J87" s="480"/>
      <c r="K87" s="480"/>
      <c r="L87" s="480"/>
      <c r="M87" s="106"/>
      <c r="N87" s="106"/>
    </row>
    <row r="88" spans="1:14" x14ac:dyDescent="0.25">
      <c r="A88" s="480"/>
      <c r="B88" s="480"/>
      <c r="C88" s="480"/>
      <c r="D88" s="480"/>
      <c r="E88" s="480"/>
      <c r="F88" s="480"/>
      <c r="G88" s="480"/>
      <c r="H88" s="480"/>
      <c r="I88" s="480"/>
      <c r="J88" s="480"/>
      <c r="K88" s="480"/>
      <c r="L88" s="480"/>
      <c r="M88" s="106"/>
      <c r="N88" s="106"/>
    </row>
    <row r="89" spans="1:14" x14ac:dyDescent="0.25">
      <c r="A89" s="480"/>
      <c r="B89" s="480"/>
      <c r="C89" s="480"/>
      <c r="D89" s="480"/>
      <c r="E89" s="480"/>
      <c r="F89" s="480"/>
      <c r="G89" s="480"/>
      <c r="H89" s="480"/>
      <c r="I89" s="480"/>
      <c r="J89" s="480"/>
      <c r="K89" s="480"/>
      <c r="L89" s="480"/>
      <c r="M89" s="106"/>
      <c r="N89" s="106"/>
    </row>
    <row r="90" spans="1:14" s="113" customFormat="1" x14ac:dyDescent="0.25">
      <c r="A90" s="112"/>
      <c r="B90" s="112"/>
      <c r="C90" s="112"/>
      <c r="D90" s="112"/>
      <c r="E90" s="112"/>
      <c r="F90" s="112"/>
      <c r="G90" s="112"/>
      <c r="H90" s="112"/>
      <c r="I90" s="112"/>
      <c r="J90" s="112"/>
      <c r="K90" s="112"/>
      <c r="L90" s="112"/>
      <c r="M90" s="98"/>
      <c r="N90" s="98"/>
    </row>
    <row r="91" spans="1:14" x14ac:dyDescent="0.25">
      <c r="A91" s="112"/>
      <c r="B91" s="112"/>
      <c r="C91" s="112"/>
      <c r="D91" s="112"/>
      <c r="E91" s="112"/>
      <c r="F91" s="112"/>
      <c r="G91" s="112"/>
      <c r="H91" s="112"/>
      <c r="I91" s="112"/>
      <c r="J91" s="112"/>
      <c r="K91" s="112"/>
      <c r="L91" s="112"/>
      <c r="M91" s="106"/>
      <c r="N91" s="106"/>
    </row>
    <row r="92" spans="1:14" x14ac:dyDescent="0.25">
      <c r="A92" s="112"/>
      <c r="B92" s="112"/>
      <c r="C92" s="112"/>
      <c r="D92" s="112"/>
      <c r="E92" s="112"/>
      <c r="F92" s="112"/>
      <c r="G92" s="112"/>
      <c r="H92" s="112"/>
      <c r="I92" s="112"/>
      <c r="J92" s="112"/>
      <c r="K92" s="112"/>
      <c r="L92" s="112"/>
      <c r="M92" s="106"/>
      <c r="N92" s="106"/>
    </row>
    <row r="93" spans="1:14" x14ac:dyDescent="0.25">
      <c r="A93" s="112"/>
      <c r="B93" s="112"/>
      <c r="C93" s="112"/>
      <c r="D93" s="112"/>
      <c r="E93" s="112"/>
      <c r="F93" s="112"/>
      <c r="G93" s="112"/>
      <c r="H93" s="112"/>
      <c r="I93" s="112"/>
      <c r="J93" s="112"/>
      <c r="K93" s="112"/>
      <c r="L93" s="112"/>
      <c r="M93" s="106"/>
      <c r="N93" s="106"/>
    </row>
    <row r="94" spans="1:14" x14ac:dyDescent="0.25">
      <c r="A94" s="112"/>
      <c r="B94" s="112"/>
      <c r="C94" s="112"/>
      <c r="D94" s="112"/>
      <c r="E94" s="112"/>
      <c r="F94" s="112"/>
      <c r="G94" s="112"/>
      <c r="H94" s="112"/>
      <c r="I94" s="112"/>
      <c r="J94" s="112"/>
      <c r="K94" s="112"/>
      <c r="L94" s="112"/>
      <c r="M94" s="106"/>
      <c r="N94" s="106"/>
    </row>
    <row r="95" spans="1:14" ht="25.5" x14ac:dyDescent="0.25">
      <c r="A95" s="485" t="s">
        <v>550</v>
      </c>
      <c r="B95" s="485"/>
      <c r="C95" s="485"/>
      <c r="D95" s="485"/>
      <c r="E95" s="485"/>
      <c r="F95" s="485"/>
      <c r="G95" s="485"/>
      <c r="H95" s="485"/>
      <c r="I95" s="485"/>
      <c r="J95" s="485"/>
      <c r="K95" s="485"/>
      <c r="L95" s="485"/>
      <c r="M95" s="106"/>
      <c r="N95" s="106"/>
    </row>
    <row r="96" spans="1:14" x14ac:dyDescent="0.25">
      <c r="A96" s="112"/>
      <c r="B96" s="112"/>
      <c r="C96" s="112"/>
      <c r="D96" s="112"/>
      <c r="E96" s="112"/>
      <c r="F96" s="112"/>
      <c r="G96" s="112"/>
      <c r="H96" s="112"/>
      <c r="I96" s="112"/>
      <c r="J96" s="112"/>
      <c r="K96" s="112"/>
      <c r="L96" s="112"/>
      <c r="M96" s="106"/>
      <c r="N96" s="106"/>
    </row>
    <row r="97" spans="1:14" ht="20.25" x14ac:dyDescent="0.3">
      <c r="A97" s="483" t="s">
        <v>363</v>
      </c>
      <c r="B97" s="483"/>
      <c r="C97" s="92"/>
      <c r="D97" s="113"/>
      <c r="J97" s="106"/>
      <c r="K97" s="106"/>
      <c r="L97" s="106"/>
      <c r="M97" s="106"/>
      <c r="N97" s="106"/>
    </row>
    <row r="98" spans="1:14" ht="20.25" x14ac:dyDescent="0.3">
      <c r="A98" s="122"/>
      <c r="B98" s="122"/>
      <c r="C98" s="92"/>
      <c r="D98" s="113"/>
      <c r="J98" s="106"/>
      <c r="K98" s="106"/>
      <c r="L98" s="106"/>
      <c r="M98" s="106"/>
      <c r="N98" s="106"/>
    </row>
    <row r="99" spans="1:14" x14ac:dyDescent="0.25">
      <c r="A99" s="114"/>
      <c r="B99" s="96" t="s">
        <v>429</v>
      </c>
      <c r="I99" s="62" t="s">
        <v>428</v>
      </c>
      <c r="J99" s="62"/>
      <c r="K99" s="106"/>
      <c r="L99" s="106"/>
      <c r="M99" s="106"/>
      <c r="N99" s="106"/>
    </row>
    <row r="100" spans="1:14" x14ac:dyDescent="0.25">
      <c r="A100" s="115"/>
      <c r="B100" s="96" t="s">
        <v>431</v>
      </c>
      <c r="I100" s="62" t="s">
        <v>430</v>
      </c>
      <c r="J100" s="62"/>
      <c r="K100" s="106"/>
      <c r="L100" s="106"/>
      <c r="M100" s="106"/>
      <c r="N100" s="106"/>
    </row>
    <row r="101" spans="1:14" x14ac:dyDescent="0.25">
      <c r="A101" s="115"/>
      <c r="B101" s="96" t="s">
        <v>432</v>
      </c>
      <c r="I101" s="62" t="s">
        <v>440</v>
      </c>
      <c r="J101" s="62"/>
      <c r="K101" s="106"/>
      <c r="L101" s="106"/>
      <c r="M101" s="106"/>
      <c r="N101" s="106"/>
    </row>
    <row r="102" spans="1:14" x14ac:dyDescent="0.25">
      <c r="A102" s="115"/>
      <c r="B102" s="96" t="s">
        <v>433</v>
      </c>
      <c r="E102" s="97"/>
      <c r="I102" s="62" t="s">
        <v>441</v>
      </c>
      <c r="J102" s="62"/>
      <c r="K102" s="106"/>
      <c r="L102" s="106"/>
      <c r="M102" s="106"/>
      <c r="N102" s="106"/>
    </row>
    <row r="103" spans="1:14" x14ac:dyDescent="0.25">
      <c r="A103" s="115"/>
      <c r="B103" s="96" t="s">
        <v>434</v>
      </c>
      <c r="E103" s="97"/>
      <c r="I103" s="62" t="s">
        <v>435</v>
      </c>
      <c r="J103" s="62"/>
    </row>
    <row r="104" spans="1:14" x14ac:dyDescent="0.25">
      <c r="A104" s="115"/>
      <c r="B104" s="96" t="s">
        <v>437</v>
      </c>
      <c r="E104" s="97"/>
      <c r="I104" s="62" t="s">
        <v>436</v>
      </c>
      <c r="J104" s="62"/>
    </row>
    <row r="105" spans="1:14" x14ac:dyDescent="0.25">
      <c r="A105" s="115"/>
      <c r="B105" s="96" t="s">
        <v>438</v>
      </c>
      <c r="E105" s="97"/>
      <c r="I105" s="121" t="s">
        <v>440</v>
      </c>
      <c r="J105" s="121"/>
    </row>
    <row r="106" spans="1:14" x14ac:dyDescent="0.25">
      <c r="A106" s="115"/>
      <c r="B106" s="96" t="s">
        <v>418</v>
      </c>
      <c r="E106" s="97"/>
      <c r="I106" s="121" t="s">
        <v>442</v>
      </c>
      <c r="J106" s="121"/>
    </row>
    <row r="107" spans="1:14" x14ac:dyDescent="0.25">
      <c r="A107" s="115"/>
      <c r="B107" s="96" t="s">
        <v>343</v>
      </c>
      <c r="E107" s="97"/>
      <c r="I107" s="121" t="s">
        <v>419</v>
      </c>
      <c r="J107" s="121"/>
    </row>
    <row r="108" spans="1:14" x14ac:dyDescent="0.25">
      <c r="A108" s="115"/>
      <c r="B108" s="96" t="s">
        <v>12</v>
      </c>
      <c r="E108" s="97"/>
      <c r="I108" s="121" t="s">
        <v>420</v>
      </c>
      <c r="J108" s="121"/>
    </row>
    <row r="109" spans="1:14" x14ac:dyDescent="0.25">
      <c r="A109" s="115"/>
      <c r="B109" s="96" t="s">
        <v>311</v>
      </c>
      <c r="E109" s="97"/>
      <c r="I109" s="121" t="s">
        <v>310</v>
      </c>
      <c r="J109" s="121"/>
    </row>
    <row r="110" spans="1:14" x14ac:dyDescent="0.25">
      <c r="A110" s="115"/>
      <c r="B110" s="96" t="s">
        <v>312</v>
      </c>
      <c r="E110" s="97"/>
      <c r="I110" s="121" t="s">
        <v>310</v>
      </c>
      <c r="J110" s="121"/>
    </row>
    <row r="111" spans="1:14" x14ac:dyDescent="0.25">
      <c r="A111" s="115"/>
      <c r="B111" s="96" t="s">
        <v>313</v>
      </c>
      <c r="E111" s="97"/>
      <c r="I111" s="121" t="s">
        <v>443</v>
      </c>
      <c r="J111" s="121"/>
    </row>
    <row r="112" spans="1:14" x14ac:dyDescent="0.25">
      <c r="A112" s="115"/>
      <c r="B112" s="96" t="s">
        <v>314</v>
      </c>
      <c r="E112" s="97"/>
      <c r="I112" s="121" t="s">
        <v>435</v>
      </c>
      <c r="J112" s="121"/>
    </row>
    <row r="113" spans="1:10" x14ac:dyDescent="0.25">
      <c r="A113" s="115"/>
      <c r="B113" s="96" t="s">
        <v>345</v>
      </c>
      <c r="E113" s="97"/>
      <c r="I113" s="121" t="s">
        <v>315</v>
      </c>
      <c r="J113" s="121"/>
    </row>
    <row r="114" spans="1:10" x14ac:dyDescent="0.25">
      <c r="A114" s="115"/>
      <c r="B114" s="96" t="s">
        <v>316</v>
      </c>
      <c r="E114" s="97"/>
      <c r="I114" s="121" t="s">
        <v>317</v>
      </c>
      <c r="J114" s="121"/>
    </row>
    <row r="115" spans="1:10" x14ac:dyDescent="0.25">
      <c r="A115" s="115"/>
      <c r="B115" s="96" t="s">
        <v>318</v>
      </c>
      <c r="E115" s="97"/>
      <c r="I115" s="121" t="s">
        <v>319</v>
      </c>
      <c r="J115" s="121"/>
    </row>
    <row r="116" spans="1:10" x14ac:dyDescent="0.25">
      <c r="A116" s="115"/>
      <c r="B116" s="96" t="s">
        <v>13</v>
      </c>
      <c r="E116" s="97"/>
      <c r="I116" s="121" t="s">
        <v>439</v>
      </c>
      <c r="J116" s="121"/>
    </row>
    <row r="117" spans="1:10" x14ac:dyDescent="0.25">
      <c r="A117" s="115"/>
      <c r="B117" s="96" t="s">
        <v>444</v>
      </c>
      <c r="E117" s="97"/>
      <c r="I117" s="121" t="s">
        <v>439</v>
      </c>
      <c r="J117" s="121"/>
    </row>
    <row r="118" spans="1:10" x14ac:dyDescent="0.25">
      <c r="A118" s="115"/>
      <c r="B118" s="96" t="s">
        <v>446</v>
      </c>
      <c r="E118" s="97"/>
      <c r="I118" s="121" t="s">
        <v>439</v>
      </c>
      <c r="J118" s="121"/>
    </row>
    <row r="119" spans="1:10" x14ac:dyDescent="0.25">
      <c r="A119" s="115"/>
      <c r="B119" s="96" t="s">
        <v>445</v>
      </c>
      <c r="E119" s="97"/>
      <c r="I119" s="121" t="s">
        <v>460</v>
      </c>
      <c r="J119" s="121"/>
    </row>
    <row r="120" spans="1:10" x14ac:dyDescent="0.25">
      <c r="A120" s="115"/>
      <c r="B120" s="96" t="s">
        <v>447</v>
      </c>
      <c r="E120" s="97"/>
      <c r="I120" s="121" t="s">
        <v>439</v>
      </c>
      <c r="J120" s="121"/>
    </row>
    <row r="121" spans="1:10" x14ac:dyDescent="0.25">
      <c r="A121" s="115"/>
      <c r="B121" s="96" t="s">
        <v>448</v>
      </c>
      <c r="E121" s="97"/>
      <c r="I121" s="121" t="s">
        <v>449</v>
      </c>
      <c r="J121" s="121"/>
    </row>
    <row r="122" spans="1:10" x14ac:dyDescent="0.25">
      <c r="A122" s="115"/>
      <c r="B122" s="96" t="s">
        <v>450</v>
      </c>
      <c r="E122" s="97"/>
      <c r="I122" s="121" t="s">
        <v>451</v>
      </c>
      <c r="J122" s="121"/>
    </row>
    <row r="123" spans="1:10" x14ac:dyDescent="0.25">
      <c r="A123" s="115"/>
      <c r="B123" s="96" t="s">
        <v>452</v>
      </c>
      <c r="E123" s="97"/>
      <c r="I123" s="121" t="s">
        <v>461</v>
      </c>
      <c r="J123" s="121"/>
    </row>
    <row r="124" spans="1:10" x14ac:dyDescent="0.25">
      <c r="A124" s="115"/>
      <c r="B124" s="96" t="s">
        <v>453</v>
      </c>
      <c r="E124" s="97"/>
      <c r="I124" s="121" t="s">
        <v>454</v>
      </c>
      <c r="J124" s="121"/>
    </row>
    <row r="125" spans="1:10" x14ac:dyDescent="0.25">
      <c r="A125" s="115"/>
      <c r="B125" s="96" t="s">
        <v>455</v>
      </c>
      <c r="E125" s="97"/>
      <c r="I125" s="121" t="s">
        <v>456</v>
      </c>
      <c r="J125" s="121"/>
    </row>
    <row r="126" spans="1:10" x14ac:dyDescent="0.25">
      <c r="A126" s="115"/>
      <c r="B126" s="96" t="s">
        <v>14</v>
      </c>
      <c r="E126" s="97"/>
      <c r="I126" s="121" t="s">
        <v>457</v>
      </c>
      <c r="J126" s="121"/>
    </row>
    <row r="127" spans="1:10" x14ac:dyDescent="0.25">
      <c r="A127" s="115"/>
      <c r="B127" s="96" t="s">
        <v>458</v>
      </c>
      <c r="E127" s="97"/>
      <c r="I127" s="121" t="s">
        <v>459</v>
      </c>
      <c r="J127" s="121"/>
    </row>
    <row r="128" spans="1:10" x14ac:dyDescent="0.25">
      <c r="A128" s="115"/>
      <c r="B128" s="96" t="s">
        <v>890</v>
      </c>
      <c r="E128" s="97"/>
      <c r="J128" s="121"/>
    </row>
    <row r="129" spans="1:14" x14ac:dyDescent="0.25">
      <c r="A129" s="68"/>
      <c r="E129" s="97"/>
    </row>
    <row r="130" spans="1:14" x14ac:dyDescent="0.25">
      <c r="A130" s="95" t="s">
        <v>369</v>
      </c>
      <c r="B130" s="481"/>
      <c r="C130" s="481"/>
      <c r="D130" s="481"/>
      <c r="E130" s="481"/>
      <c r="F130" s="481"/>
      <c r="G130" s="481"/>
      <c r="H130" s="481"/>
      <c r="I130" s="481"/>
      <c r="J130" s="481"/>
      <c r="K130" s="481"/>
      <c r="L130" s="481"/>
    </row>
    <row r="131" spans="1:14" x14ac:dyDescent="0.25">
      <c r="B131" s="482"/>
      <c r="C131" s="482"/>
      <c r="D131" s="482"/>
      <c r="E131" s="482"/>
      <c r="F131" s="482"/>
      <c r="G131" s="482"/>
      <c r="H131" s="482"/>
      <c r="I131" s="482"/>
      <c r="J131" s="482"/>
      <c r="K131" s="482"/>
      <c r="L131" s="482"/>
    </row>
    <row r="132" spans="1:14" x14ac:dyDescent="0.25">
      <c r="B132" s="117"/>
      <c r="C132" s="117"/>
      <c r="D132" s="117"/>
      <c r="E132" s="117"/>
      <c r="F132" s="117"/>
      <c r="G132" s="117"/>
      <c r="H132" s="117"/>
      <c r="I132" s="117"/>
      <c r="J132" s="117"/>
      <c r="K132" s="117"/>
      <c r="L132" s="117"/>
    </row>
    <row r="133" spans="1:14" x14ac:dyDescent="0.25">
      <c r="A133" s="118">
        <f>COUNTIF(A99:A128, "Minor")</f>
        <v>0</v>
      </c>
      <c r="B133" s="361" t="s">
        <v>382</v>
      </c>
      <c r="C133" s="361"/>
      <c r="D133" s="45" t="str">
        <f>IF(A134=0,IF(A133&gt;=3,"Major",IF(A133&gt;0,"Minor","Pass")), "Major")</f>
        <v>Pass</v>
      </c>
      <c r="E133" s="117"/>
      <c r="F133" s="117"/>
      <c r="G133" s="117"/>
      <c r="H133" s="117"/>
      <c r="I133" s="117"/>
      <c r="J133" s="117"/>
      <c r="K133" s="117"/>
      <c r="L133" s="117"/>
    </row>
    <row r="134" spans="1:14" x14ac:dyDescent="0.25">
      <c r="A134" s="118">
        <f>COUNTIF(A99:A128, "Major")</f>
        <v>0</v>
      </c>
    </row>
    <row r="135" spans="1:14" ht="20.25" x14ac:dyDescent="0.3">
      <c r="A135" s="483" t="s">
        <v>364</v>
      </c>
      <c r="B135" s="483"/>
      <c r="C135" s="92"/>
      <c r="D135" s="113"/>
    </row>
    <row r="136" spans="1:14" ht="20.25" x14ac:dyDescent="0.3">
      <c r="A136" s="122"/>
      <c r="B136" s="122"/>
      <c r="C136" s="92"/>
      <c r="D136" s="113"/>
    </row>
    <row r="137" spans="1:14" x14ac:dyDescent="0.25">
      <c r="A137" s="114"/>
      <c r="B137" s="96" t="s">
        <v>432</v>
      </c>
      <c r="I137" s="96" t="s">
        <v>462</v>
      </c>
      <c r="J137" s="106"/>
      <c r="K137" s="106"/>
      <c r="L137" s="106"/>
      <c r="M137" s="106"/>
      <c r="N137" s="106"/>
    </row>
    <row r="138" spans="1:14" x14ac:dyDescent="0.25">
      <c r="A138" s="115"/>
      <c r="B138" s="96" t="s">
        <v>463</v>
      </c>
      <c r="I138" s="96" t="s">
        <v>430</v>
      </c>
      <c r="J138" s="106"/>
      <c r="K138" s="106"/>
      <c r="L138" s="106"/>
      <c r="M138" s="106"/>
      <c r="N138" s="106"/>
    </row>
    <row r="139" spans="1:14" x14ac:dyDescent="0.25">
      <c r="A139" s="115"/>
      <c r="B139" s="96" t="s">
        <v>464</v>
      </c>
      <c r="E139" s="97"/>
      <c r="I139" s="96" t="s">
        <v>465</v>
      </c>
      <c r="J139" s="106"/>
      <c r="K139" s="106"/>
      <c r="L139" s="106"/>
      <c r="M139" s="106"/>
      <c r="N139" s="106"/>
    </row>
    <row r="140" spans="1:14" x14ac:dyDescent="0.25">
      <c r="A140" s="115"/>
      <c r="B140" s="96" t="s">
        <v>466</v>
      </c>
      <c r="E140" s="97"/>
      <c r="I140" s="96" t="s">
        <v>462</v>
      </c>
      <c r="J140" s="106"/>
      <c r="K140" s="106"/>
      <c r="L140" s="106"/>
      <c r="M140" s="106"/>
      <c r="N140" s="106"/>
    </row>
    <row r="141" spans="1:14" x14ac:dyDescent="0.25">
      <c r="A141" s="115"/>
      <c r="B141" s="96" t="s">
        <v>467</v>
      </c>
      <c r="E141" s="97"/>
      <c r="I141" s="96" t="s">
        <v>468</v>
      </c>
      <c r="J141" s="106"/>
      <c r="K141" s="106"/>
      <c r="L141" s="106"/>
      <c r="M141" s="106"/>
      <c r="N141" s="106"/>
    </row>
    <row r="142" spans="1:14" x14ac:dyDescent="0.25">
      <c r="A142" s="115"/>
      <c r="B142" s="96" t="s">
        <v>470</v>
      </c>
      <c r="E142" s="97"/>
      <c r="I142" s="96" t="s">
        <v>469</v>
      </c>
      <c r="J142" s="106"/>
      <c r="K142" s="106"/>
      <c r="L142" s="106"/>
      <c r="M142" s="106"/>
      <c r="N142" s="106"/>
    </row>
    <row r="143" spans="1:14" x14ac:dyDescent="0.25">
      <c r="A143" s="115"/>
      <c r="B143" s="96" t="s">
        <v>471</v>
      </c>
      <c r="E143" s="97"/>
      <c r="I143" s="96" t="s">
        <v>472</v>
      </c>
      <c r="J143" s="106"/>
      <c r="K143" s="106"/>
      <c r="L143" s="106"/>
      <c r="M143" s="106"/>
      <c r="N143" s="106"/>
    </row>
    <row r="144" spans="1:14" x14ac:dyDescent="0.25">
      <c r="A144" s="115"/>
      <c r="B144" s="96" t="s">
        <v>350</v>
      </c>
      <c r="E144" s="97"/>
      <c r="I144" s="96" t="s">
        <v>351</v>
      </c>
      <c r="J144" s="106"/>
      <c r="K144" s="106"/>
      <c r="L144" s="106"/>
      <c r="M144" s="106"/>
      <c r="N144" s="106"/>
    </row>
    <row r="145" spans="1:14" x14ac:dyDescent="0.25">
      <c r="A145" s="115"/>
      <c r="B145" s="96" t="s">
        <v>352</v>
      </c>
      <c r="E145" s="97"/>
      <c r="I145" s="96" t="s">
        <v>353</v>
      </c>
      <c r="J145" s="106"/>
      <c r="K145" s="106"/>
      <c r="L145" s="106"/>
      <c r="M145" s="106"/>
      <c r="N145" s="106"/>
    </row>
    <row r="146" spans="1:14" x14ac:dyDescent="0.25">
      <c r="A146" s="115"/>
      <c r="B146" s="96" t="s">
        <v>354</v>
      </c>
      <c r="E146" s="97"/>
      <c r="I146" s="96" t="s">
        <v>355</v>
      </c>
      <c r="J146" s="106"/>
      <c r="K146" s="106"/>
      <c r="L146" s="106"/>
      <c r="M146" s="106"/>
      <c r="N146" s="106"/>
    </row>
    <row r="147" spans="1:14" x14ac:dyDescent="0.25">
      <c r="A147" s="115"/>
      <c r="B147" s="96" t="s">
        <v>356</v>
      </c>
      <c r="E147" s="97"/>
      <c r="I147" s="96" t="s">
        <v>357</v>
      </c>
      <c r="J147" s="106"/>
      <c r="K147" s="106"/>
      <c r="L147" s="106"/>
      <c r="M147" s="106"/>
      <c r="N147" s="106"/>
    </row>
    <row r="148" spans="1:14" x14ac:dyDescent="0.25">
      <c r="A148" s="115"/>
      <c r="B148" s="96" t="s">
        <v>358</v>
      </c>
      <c r="E148" s="97"/>
      <c r="I148" s="96" t="s">
        <v>359</v>
      </c>
      <c r="J148" s="106"/>
      <c r="K148" s="106"/>
      <c r="L148" s="106"/>
      <c r="M148" s="106"/>
      <c r="N148" s="106"/>
    </row>
    <row r="149" spans="1:14" x14ac:dyDescent="0.25">
      <c r="A149" s="115"/>
      <c r="B149" s="96" t="s">
        <v>360</v>
      </c>
      <c r="E149" s="97"/>
      <c r="I149" s="96" t="s">
        <v>359</v>
      </c>
      <c r="J149" s="106"/>
      <c r="K149" s="106"/>
      <c r="L149" s="106"/>
      <c r="M149" s="106"/>
      <c r="N149" s="106"/>
    </row>
    <row r="150" spans="1:14" x14ac:dyDescent="0.25">
      <c r="A150" s="115"/>
      <c r="B150" s="96" t="s">
        <v>361</v>
      </c>
      <c r="E150" s="97"/>
      <c r="I150" s="96" t="s">
        <v>362</v>
      </c>
      <c r="J150" s="106"/>
      <c r="K150" s="106"/>
      <c r="L150" s="106"/>
      <c r="M150" s="106"/>
      <c r="N150" s="106"/>
    </row>
    <row r="151" spans="1:14" x14ac:dyDescent="0.25">
      <c r="A151" s="115"/>
      <c r="B151" s="96" t="s">
        <v>208</v>
      </c>
      <c r="E151" s="97"/>
      <c r="I151" s="96" t="s">
        <v>209</v>
      </c>
      <c r="J151" s="106"/>
      <c r="K151" s="106"/>
      <c r="L151" s="106"/>
      <c r="M151" s="106"/>
      <c r="N151" s="106"/>
    </row>
    <row r="152" spans="1:14" x14ac:dyDescent="0.25">
      <c r="A152" s="115"/>
      <c r="B152" s="96" t="s">
        <v>383</v>
      </c>
      <c r="E152" s="97"/>
      <c r="I152" s="96" t="s">
        <v>210</v>
      </c>
      <c r="J152" s="106"/>
      <c r="K152" s="106"/>
      <c r="L152" s="106"/>
      <c r="M152" s="106"/>
      <c r="N152" s="106"/>
    </row>
    <row r="153" spans="1:14" x14ac:dyDescent="0.25">
      <c r="A153" s="115"/>
      <c r="B153" s="96" t="s">
        <v>890</v>
      </c>
      <c r="E153" s="97"/>
      <c r="J153" s="106"/>
      <c r="K153" s="106"/>
      <c r="L153" s="106"/>
      <c r="M153" s="106"/>
      <c r="N153" s="106"/>
    </row>
    <row r="154" spans="1:14" x14ac:dyDescent="0.25">
      <c r="A154" s="68"/>
      <c r="E154" s="97"/>
    </row>
    <row r="155" spans="1:14" x14ac:dyDescent="0.25">
      <c r="A155" s="95" t="s">
        <v>369</v>
      </c>
      <c r="B155" s="481"/>
      <c r="C155" s="481"/>
      <c r="D155" s="481"/>
      <c r="E155" s="481"/>
      <c r="F155" s="481"/>
      <c r="G155" s="481"/>
      <c r="H155" s="481"/>
      <c r="I155" s="481"/>
      <c r="J155" s="481"/>
      <c r="K155" s="481"/>
      <c r="L155" s="481"/>
    </row>
    <row r="156" spans="1:14" x14ac:dyDescent="0.25">
      <c r="B156" s="482"/>
      <c r="C156" s="482"/>
      <c r="D156" s="482"/>
      <c r="E156" s="482"/>
      <c r="F156" s="482"/>
      <c r="G156" s="482"/>
      <c r="H156" s="482"/>
      <c r="I156" s="482"/>
      <c r="J156" s="482"/>
      <c r="K156" s="482"/>
      <c r="L156" s="482"/>
    </row>
    <row r="157" spans="1:14" x14ac:dyDescent="0.25">
      <c r="B157" s="117"/>
      <c r="C157" s="117"/>
      <c r="D157" s="117"/>
      <c r="E157" s="117"/>
      <c r="F157" s="117"/>
      <c r="G157" s="117"/>
      <c r="H157" s="117"/>
      <c r="I157" s="117"/>
      <c r="J157" s="117"/>
      <c r="K157" s="117"/>
      <c r="L157" s="117"/>
    </row>
    <row r="158" spans="1:14" ht="15.75" customHeight="1" x14ac:dyDescent="0.25">
      <c r="A158" s="118">
        <f>COUNTIF(A137:A153, "Minor")</f>
        <v>0</v>
      </c>
      <c r="B158" s="361" t="s">
        <v>382</v>
      </c>
      <c r="C158" s="361"/>
      <c r="D158" s="45" t="str">
        <f>IF(A159=0,IF(A158&gt;=3,"Major",IF(A158&gt;0,"Minor","Pass")), "Major")</f>
        <v>Pass</v>
      </c>
    </row>
    <row r="159" spans="1:14" ht="15.75" customHeight="1" x14ac:dyDescent="0.25">
      <c r="A159" s="118">
        <f>COUNTIF(A122:A153, "Major")</f>
        <v>0</v>
      </c>
      <c r="B159" s="45"/>
      <c r="C159" s="45"/>
      <c r="D159" s="45"/>
    </row>
    <row r="160" spans="1:14" ht="20.25" x14ac:dyDescent="0.3">
      <c r="A160" s="483" t="s">
        <v>572</v>
      </c>
      <c r="B160" s="483"/>
      <c r="C160" s="93"/>
      <c r="D160" s="113"/>
    </row>
    <row r="161" spans="1:14" ht="20.25" x14ac:dyDescent="0.3">
      <c r="A161" s="122"/>
      <c r="B161" s="122"/>
      <c r="C161" s="93"/>
      <c r="D161" s="113"/>
    </row>
    <row r="162" spans="1:14" x14ac:dyDescent="0.25">
      <c r="A162" s="114"/>
      <c r="B162" s="96" t="s">
        <v>384</v>
      </c>
      <c r="E162" s="97"/>
      <c r="I162" s="96" t="s">
        <v>385</v>
      </c>
      <c r="J162" s="106"/>
      <c r="K162" s="106"/>
      <c r="L162" s="106"/>
      <c r="M162" s="106"/>
      <c r="N162" s="106"/>
    </row>
    <row r="163" spans="1:14" x14ac:dyDescent="0.25">
      <c r="A163" s="115"/>
      <c r="B163" s="96" t="s">
        <v>386</v>
      </c>
      <c r="E163" s="97"/>
      <c r="I163" s="96" t="s">
        <v>385</v>
      </c>
      <c r="J163" s="106"/>
      <c r="K163" s="106"/>
      <c r="L163" s="106"/>
      <c r="M163" s="106"/>
      <c r="N163" s="106"/>
    </row>
    <row r="164" spans="1:14" x14ac:dyDescent="0.25">
      <c r="A164" s="115"/>
      <c r="B164" s="96" t="s">
        <v>387</v>
      </c>
      <c r="E164" s="97"/>
      <c r="I164" s="96" t="s">
        <v>385</v>
      </c>
      <c r="J164" s="106"/>
      <c r="K164" s="106"/>
      <c r="L164" s="106"/>
      <c r="M164" s="106"/>
      <c r="N164" s="106"/>
    </row>
    <row r="165" spans="1:14" x14ac:dyDescent="0.25">
      <c r="A165" s="115"/>
      <c r="B165" s="96" t="s">
        <v>316</v>
      </c>
      <c r="E165" s="97"/>
      <c r="I165" s="96" t="s">
        <v>317</v>
      </c>
    </row>
    <row r="166" spans="1:14" x14ac:dyDescent="0.25">
      <c r="A166" s="115"/>
      <c r="B166" s="96" t="s">
        <v>388</v>
      </c>
      <c r="E166" s="97"/>
      <c r="I166" s="96" t="s">
        <v>430</v>
      </c>
      <c r="J166" s="106"/>
      <c r="K166" s="106"/>
      <c r="L166" s="106"/>
      <c r="M166" s="106"/>
      <c r="N166" s="106"/>
    </row>
    <row r="167" spans="1:14" x14ac:dyDescent="0.25">
      <c r="A167" s="115"/>
      <c r="B167" s="96" t="s">
        <v>890</v>
      </c>
      <c r="E167" s="97"/>
      <c r="J167" s="106"/>
      <c r="K167" s="106"/>
      <c r="L167" s="106"/>
      <c r="M167" s="106"/>
      <c r="N167" s="106"/>
    </row>
    <row r="168" spans="1:14" x14ac:dyDescent="0.25">
      <c r="A168" s="68"/>
      <c r="E168" s="97"/>
    </row>
    <row r="169" spans="1:14" x14ac:dyDescent="0.25">
      <c r="A169" s="95" t="s">
        <v>369</v>
      </c>
      <c r="B169" s="481"/>
      <c r="C169" s="481"/>
      <c r="D169" s="481"/>
      <c r="E169" s="481"/>
      <c r="F169" s="481"/>
      <c r="G169" s="481"/>
      <c r="H169" s="481"/>
      <c r="I169" s="481"/>
      <c r="J169" s="481"/>
      <c r="K169" s="481"/>
      <c r="L169" s="481"/>
    </row>
    <row r="170" spans="1:14" x14ac:dyDescent="0.25">
      <c r="B170" s="482"/>
      <c r="C170" s="482"/>
      <c r="D170" s="482"/>
      <c r="E170" s="482"/>
      <c r="F170" s="482"/>
      <c r="G170" s="482"/>
      <c r="H170" s="482"/>
      <c r="I170" s="482"/>
      <c r="J170" s="482"/>
      <c r="K170" s="482"/>
      <c r="L170" s="482"/>
    </row>
    <row r="171" spans="1:14" ht="13.5" customHeight="1" x14ac:dyDescent="0.25">
      <c r="B171" s="117"/>
      <c r="C171" s="117"/>
      <c r="D171" s="117"/>
      <c r="E171" s="117"/>
      <c r="F171" s="117"/>
      <c r="G171" s="117"/>
      <c r="H171" s="117"/>
      <c r="I171" s="117"/>
      <c r="J171" s="117"/>
      <c r="K171" s="117"/>
      <c r="L171" s="117"/>
    </row>
    <row r="172" spans="1:14" x14ac:dyDescent="0.25">
      <c r="A172" s="118">
        <f>COUNTIF(A162:A167, "Minor")</f>
        <v>0</v>
      </c>
      <c r="B172" s="361" t="s">
        <v>382</v>
      </c>
      <c r="C172" s="361"/>
      <c r="D172" s="45" t="str">
        <f>IF(A173=0,IF(A172&gt;=3,"Major",IF(A172&gt;0,"Minor","Pass")), "Major")</f>
        <v>Pass</v>
      </c>
      <c r="E172" s="117"/>
      <c r="F172" s="117"/>
      <c r="G172" s="117"/>
      <c r="H172" s="117"/>
      <c r="I172" s="117"/>
      <c r="J172" s="117"/>
      <c r="K172" s="117"/>
      <c r="L172" s="117"/>
    </row>
    <row r="173" spans="1:14" x14ac:dyDescent="0.25">
      <c r="A173" s="118">
        <f>COUNTIF(A162:A167, "Major")</f>
        <v>0</v>
      </c>
    </row>
    <row r="174" spans="1:14" ht="20.25" x14ac:dyDescent="0.3">
      <c r="A174" s="483" t="s">
        <v>368</v>
      </c>
      <c r="B174" s="483"/>
      <c r="C174" s="92"/>
      <c r="D174" s="113"/>
    </row>
    <row r="175" spans="1:14" ht="20.25" x14ac:dyDescent="0.3">
      <c r="A175" s="122"/>
      <c r="B175" s="122"/>
      <c r="C175" s="92"/>
      <c r="D175" s="113"/>
    </row>
    <row r="176" spans="1:14" x14ac:dyDescent="0.25">
      <c r="A176" s="114"/>
      <c r="B176" s="96" t="s">
        <v>390</v>
      </c>
      <c r="E176" s="97"/>
      <c r="I176" s="96" t="s">
        <v>389</v>
      </c>
      <c r="J176" s="106"/>
      <c r="K176" s="106"/>
      <c r="L176" s="106"/>
      <c r="M176" s="106"/>
      <c r="N176" s="106"/>
    </row>
    <row r="177" spans="1:14" x14ac:dyDescent="0.25">
      <c r="A177" s="115"/>
      <c r="B177" s="96" t="s">
        <v>391</v>
      </c>
      <c r="E177" s="97"/>
      <c r="I177" s="96" t="s">
        <v>396</v>
      </c>
      <c r="J177" s="106"/>
      <c r="K177" s="106"/>
      <c r="L177" s="106"/>
      <c r="M177" s="106"/>
      <c r="N177" s="106"/>
    </row>
    <row r="178" spans="1:14" x14ac:dyDescent="0.25">
      <c r="A178" s="115"/>
      <c r="B178" s="96" t="s">
        <v>392</v>
      </c>
      <c r="E178" s="97"/>
      <c r="I178" s="96" t="s">
        <v>430</v>
      </c>
      <c r="J178" s="106"/>
      <c r="K178" s="106"/>
      <c r="L178" s="106"/>
      <c r="M178" s="106"/>
      <c r="N178" s="106"/>
    </row>
    <row r="179" spans="1:14" x14ac:dyDescent="0.25">
      <c r="A179" s="115"/>
      <c r="B179" s="96" t="s">
        <v>397</v>
      </c>
      <c r="E179" s="97"/>
      <c r="I179" s="96" t="s">
        <v>393</v>
      </c>
      <c r="J179" s="106"/>
      <c r="K179" s="106"/>
      <c r="L179" s="106"/>
      <c r="M179" s="106"/>
      <c r="N179" s="106"/>
    </row>
    <row r="180" spans="1:14" x14ac:dyDescent="0.25">
      <c r="A180" s="115"/>
      <c r="B180" s="96" t="s">
        <v>398</v>
      </c>
      <c r="E180" s="97"/>
      <c r="I180" s="96" t="s">
        <v>395</v>
      </c>
      <c r="J180" s="106"/>
      <c r="K180" s="106"/>
      <c r="L180" s="106"/>
      <c r="M180" s="106"/>
      <c r="N180" s="106"/>
    </row>
    <row r="181" spans="1:14" x14ac:dyDescent="0.25">
      <c r="A181" s="115"/>
      <c r="B181" s="96" t="s">
        <v>399</v>
      </c>
      <c r="E181" s="97"/>
      <c r="I181" s="96" t="s">
        <v>394</v>
      </c>
      <c r="J181" s="106"/>
      <c r="K181" s="106"/>
      <c r="L181" s="106"/>
      <c r="M181" s="106"/>
      <c r="N181" s="106"/>
    </row>
    <row r="182" spans="1:14" x14ac:dyDescent="0.25">
      <c r="A182" s="115"/>
      <c r="B182" s="96" t="s">
        <v>890</v>
      </c>
      <c r="E182" s="97"/>
      <c r="J182" s="106"/>
      <c r="K182" s="106"/>
      <c r="L182" s="106"/>
      <c r="M182" s="106"/>
      <c r="N182" s="106"/>
    </row>
    <row r="183" spans="1:14" x14ac:dyDescent="0.25">
      <c r="A183" s="68"/>
      <c r="E183" s="97"/>
    </row>
    <row r="184" spans="1:14" x14ac:dyDescent="0.25">
      <c r="A184" s="95" t="s">
        <v>369</v>
      </c>
      <c r="B184" s="481"/>
      <c r="C184" s="481"/>
      <c r="D184" s="481"/>
      <c r="E184" s="481"/>
      <c r="F184" s="481"/>
      <c r="G184" s="481"/>
      <c r="H184" s="481"/>
      <c r="I184" s="481"/>
      <c r="J184" s="481"/>
      <c r="K184" s="481"/>
      <c r="L184" s="481"/>
    </row>
    <row r="185" spans="1:14" x14ac:dyDescent="0.25">
      <c r="B185" s="482"/>
      <c r="C185" s="482"/>
      <c r="D185" s="482"/>
      <c r="E185" s="482"/>
      <c r="F185" s="482"/>
      <c r="G185" s="482"/>
      <c r="H185" s="482"/>
      <c r="I185" s="482"/>
      <c r="J185" s="482"/>
      <c r="K185" s="482"/>
      <c r="L185" s="482"/>
    </row>
    <row r="186" spans="1:14" x14ac:dyDescent="0.25">
      <c r="B186" s="117"/>
      <c r="C186" s="117"/>
      <c r="D186" s="117"/>
      <c r="E186" s="117"/>
      <c r="F186" s="117"/>
      <c r="G186" s="117"/>
      <c r="H186" s="117"/>
      <c r="I186" s="117"/>
      <c r="J186" s="117"/>
      <c r="K186" s="117"/>
      <c r="L186" s="117"/>
    </row>
    <row r="187" spans="1:14" x14ac:dyDescent="0.25">
      <c r="A187" s="118">
        <f>COUNTIF(A176:A182, "Minor")</f>
        <v>0</v>
      </c>
      <c r="B187" s="361" t="s">
        <v>382</v>
      </c>
      <c r="C187" s="361"/>
      <c r="D187" s="45" t="str">
        <f>IF(A188=0,IF(A187&gt;=3,"Major",IF(A187&gt;0,"Minor","Pass")), "Major")</f>
        <v>Pass</v>
      </c>
      <c r="E187" s="117"/>
      <c r="F187" s="117"/>
      <c r="G187" s="117"/>
      <c r="H187" s="117"/>
      <c r="I187" s="117"/>
      <c r="J187" s="117"/>
      <c r="K187" s="117"/>
      <c r="L187" s="117"/>
    </row>
    <row r="188" spans="1:14" x14ac:dyDescent="0.25">
      <c r="A188" s="118">
        <f>COUNTIF(A176:A182, "Major")</f>
        <v>0</v>
      </c>
    </row>
    <row r="189" spans="1:14" ht="20.25" x14ac:dyDescent="0.3">
      <c r="A189" s="483" t="s">
        <v>366</v>
      </c>
      <c r="B189" s="483"/>
      <c r="C189" s="483"/>
      <c r="D189" s="113"/>
    </row>
    <row r="190" spans="1:14" ht="20.25" x14ac:dyDescent="0.3">
      <c r="A190" s="122"/>
      <c r="B190" s="122"/>
      <c r="C190" s="122"/>
      <c r="D190" s="113"/>
    </row>
    <row r="191" spans="1:14" x14ac:dyDescent="0.25">
      <c r="A191" s="114"/>
      <c r="B191" s="96" t="s">
        <v>400</v>
      </c>
      <c r="E191" s="97"/>
      <c r="I191" s="96" t="s">
        <v>401</v>
      </c>
      <c r="J191" s="106"/>
      <c r="K191" s="106"/>
      <c r="L191" s="106"/>
      <c r="M191" s="106"/>
      <c r="N191" s="106"/>
    </row>
    <row r="192" spans="1:14" x14ac:dyDescent="0.25">
      <c r="A192" s="115"/>
      <c r="B192" s="96" t="s">
        <v>402</v>
      </c>
      <c r="E192" s="97"/>
      <c r="I192" s="96" t="s">
        <v>403</v>
      </c>
      <c r="J192" s="106"/>
      <c r="K192" s="106"/>
      <c r="L192" s="106"/>
      <c r="M192" s="106"/>
      <c r="N192" s="106"/>
    </row>
    <row r="193" spans="1:14" x14ac:dyDescent="0.25">
      <c r="A193" s="115"/>
      <c r="B193" s="96" t="s">
        <v>404</v>
      </c>
      <c r="E193" s="97"/>
      <c r="I193" s="96" t="s">
        <v>405</v>
      </c>
      <c r="J193" s="106"/>
      <c r="K193" s="106"/>
      <c r="L193" s="106"/>
      <c r="M193" s="106"/>
      <c r="N193" s="106"/>
    </row>
    <row r="194" spans="1:14" x14ac:dyDescent="0.25">
      <c r="A194" s="115"/>
      <c r="B194" s="96" t="s">
        <v>406</v>
      </c>
      <c r="E194" s="97"/>
      <c r="I194" s="96" t="s">
        <v>407</v>
      </c>
      <c r="J194" s="106"/>
      <c r="K194" s="106"/>
      <c r="L194" s="106"/>
      <c r="M194" s="106"/>
      <c r="N194" s="106"/>
    </row>
    <row r="195" spans="1:14" x14ac:dyDescent="0.25">
      <c r="A195" s="115"/>
      <c r="B195" s="96" t="s">
        <v>408</v>
      </c>
      <c r="E195" s="97"/>
      <c r="I195" s="96" t="s">
        <v>409</v>
      </c>
      <c r="J195" s="106"/>
      <c r="K195" s="106"/>
      <c r="L195" s="106"/>
      <c r="M195" s="106"/>
      <c r="N195" s="106"/>
    </row>
    <row r="196" spans="1:14" x14ac:dyDescent="0.25">
      <c r="A196" s="115"/>
      <c r="B196" s="96" t="s">
        <v>410</v>
      </c>
      <c r="E196" s="97"/>
      <c r="I196" s="96" t="s">
        <v>411</v>
      </c>
      <c r="J196" s="106"/>
      <c r="K196" s="106"/>
      <c r="L196" s="106"/>
      <c r="M196" s="106"/>
      <c r="N196" s="106"/>
    </row>
    <row r="197" spans="1:14" x14ac:dyDescent="0.25">
      <c r="A197" s="115"/>
      <c r="B197" s="96" t="s">
        <v>412</v>
      </c>
      <c r="E197" s="97"/>
      <c r="I197" s="96" t="s">
        <v>413</v>
      </c>
      <c r="J197" s="106"/>
      <c r="K197" s="106"/>
      <c r="L197" s="106"/>
      <c r="M197" s="106"/>
      <c r="N197" s="106"/>
    </row>
    <row r="198" spans="1:14" x14ac:dyDescent="0.25">
      <c r="A198" s="115"/>
      <c r="B198" s="96" t="s">
        <v>414</v>
      </c>
      <c r="E198" s="97"/>
      <c r="I198" s="96" t="s">
        <v>415</v>
      </c>
      <c r="J198" s="106"/>
      <c r="K198" s="106"/>
      <c r="L198" s="106"/>
      <c r="M198" s="106"/>
      <c r="N198" s="106"/>
    </row>
    <row r="199" spans="1:14" x14ac:dyDescent="0.25">
      <c r="A199" s="115"/>
      <c r="B199" s="96" t="s">
        <v>416</v>
      </c>
      <c r="E199" s="97"/>
      <c r="I199" s="96" t="s">
        <v>417</v>
      </c>
      <c r="J199" s="106"/>
      <c r="K199" s="106"/>
      <c r="L199" s="106"/>
      <c r="M199" s="106"/>
      <c r="N199" s="106"/>
    </row>
    <row r="200" spans="1:14" x14ac:dyDescent="0.25">
      <c r="A200" s="115"/>
      <c r="B200" s="96" t="s">
        <v>320</v>
      </c>
      <c r="E200" s="97"/>
      <c r="I200" s="96" t="s">
        <v>417</v>
      </c>
      <c r="J200" s="106"/>
      <c r="K200" s="106"/>
      <c r="L200" s="106"/>
      <c r="M200" s="106"/>
      <c r="N200" s="106"/>
    </row>
    <row r="201" spans="1:14" x14ac:dyDescent="0.25">
      <c r="A201" s="115"/>
      <c r="B201" s="96" t="s">
        <v>890</v>
      </c>
      <c r="E201" s="97"/>
      <c r="J201" s="106"/>
      <c r="K201" s="106"/>
      <c r="L201" s="106"/>
      <c r="M201" s="106"/>
      <c r="N201" s="106"/>
    </row>
    <row r="202" spans="1:14" x14ac:dyDescent="0.25">
      <c r="A202" s="68"/>
      <c r="E202" s="97"/>
    </row>
    <row r="203" spans="1:14" x14ac:dyDescent="0.25">
      <c r="A203" s="95" t="s">
        <v>369</v>
      </c>
      <c r="B203" s="481"/>
      <c r="C203" s="481"/>
      <c r="D203" s="481"/>
      <c r="E203" s="481"/>
      <c r="F203" s="481"/>
      <c r="G203" s="481"/>
      <c r="H203" s="481"/>
      <c r="I203" s="481"/>
      <c r="J203" s="481"/>
      <c r="K203" s="481"/>
      <c r="L203" s="481"/>
    </row>
    <row r="204" spans="1:14" x14ac:dyDescent="0.25">
      <c r="B204" s="482"/>
      <c r="C204" s="482"/>
      <c r="D204" s="482"/>
      <c r="E204" s="482"/>
      <c r="F204" s="482"/>
      <c r="G204" s="482"/>
      <c r="H204" s="482"/>
      <c r="I204" s="482"/>
      <c r="J204" s="482"/>
      <c r="K204" s="482"/>
      <c r="L204" s="482"/>
    </row>
    <row r="205" spans="1:14" x14ac:dyDescent="0.25">
      <c r="B205" s="117"/>
      <c r="C205" s="117"/>
      <c r="D205" s="117"/>
      <c r="E205" s="117"/>
      <c r="F205" s="117"/>
      <c r="G205" s="117"/>
      <c r="H205" s="117"/>
      <c r="I205" s="117"/>
      <c r="J205" s="117"/>
      <c r="K205" s="117"/>
      <c r="L205" s="117"/>
    </row>
    <row r="206" spans="1:14" x14ac:dyDescent="0.25">
      <c r="A206" s="118">
        <f>COUNTIF(A191:A201, "Minor")</f>
        <v>0</v>
      </c>
      <c r="B206" s="361" t="s">
        <v>382</v>
      </c>
      <c r="C206" s="361"/>
      <c r="D206" s="45" t="str">
        <f>IF(A207=0,IF(A206&gt;=3,"Major",IF(A206&gt;0,"Minor","Pass")), "Major")</f>
        <v>Pass</v>
      </c>
      <c r="E206" s="117"/>
      <c r="F206" s="117"/>
      <c r="G206" s="117"/>
      <c r="H206" s="117"/>
      <c r="I206" s="117"/>
      <c r="J206" s="117"/>
      <c r="K206" s="117"/>
      <c r="L206" s="117"/>
    </row>
    <row r="207" spans="1:14" x14ac:dyDescent="0.25">
      <c r="A207" s="118">
        <f>COUNTIF(A191:A201, "Major")</f>
        <v>0</v>
      </c>
    </row>
    <row r="208" spans="1:14" x14ac:dyDescent="0.25">
      <c r="A208" s="118"/>
    </row>
    <row r="209" spans="1:14" x14ac:dyDescent="0.25">
      <c r="A209" s="118"/>
    </row>
    <row r="210" spans="1:14" x14ac:dyDescent="0.25">
      <c r="A210" s="118"/>
    </row>
    <row r="211" spans="1:14" x14ac:dyDescent="0.25">
      <c r="A211" s="118"/>
    </row>
    <row r="212" spans="1:14" x14ac:dyDescent="0.25">
      <c r="A212" s="118"/>
    </row>
    <row r="213" spans="1:14" x14ac:dyDescent="0.25">
      <c r="A213" s="118"/>
    </row>
    <row r="214" spans="1:14" x14ac:dyDescent="0.25">
      <c r="A214" s="118"/>
    </row>
    <row r="215" spans="1:14" ht="20.25" x14ac:dyDescent="0.3">
      <c r="A215" s="483" t="s">
        <v>365</v>
      </c>
      <c r="B215" s="483"/>
    </row>
    <row r="216" spans="1:14" ht="20.25" x14ac:dyDescent="0.3">
      <c r="A216" s="122"/>
      <c r="B216" s="122"/>
    </row>
    <row r="217" spans="1:14" x14ac:dyDescent="0.25">
      <c r="A217" s="114"/>
      <c r="B217" s="96" t="s">
        <v>322</v>
      </c>
      <c r="E217" s="97"/>
      <c r="I217" s="96" t="s">
        <v>321</v>
      </c>
      <c r="J217" s="106"/>
      <c r="K217" s="106"/>
      <c r="L217" s="106"/>
      <c r="M217" s="106"/>
      <c r="N217" s="106"/>
    </row>
    <row r="218" spans="1:14" x14ac:dyDescent="0.25">
      <c r="A218" s="115"/>
      <c r="B218" s="96" t="s">
        <v>323</v>
      </c>
      <c r="E218" s="97"/>
      <c r="I218" s="96" t="s">
        <v>324</v>
      </c>
      <c r="J218" s="106"/>
      <c r="K218" s="106"/>
      <c r="L218" s="106"/>
      <c r="M218" s="106"/>
      <c r="N218" s="106"/>
    </row>
    <row r="219" spans="1:14" x14ac:dyDescent="0.25">
      <c r="A219" s="115"/>
      <c r="B219" s="96" t="s">
        <v>410</v>
      </c>
      <c r="E219" s="97"/>
      <c r="I219" s="96" t="s">
        <v>324</v>
      </c>
      <c r="J219" s="106"/>
      <c r="K219" s="106"/>
      <c r="L219" s="106"/>
      <c r="M219" s="106"/>
      <c r="N219" s="106"/>
    </row>
    <row r="220" spans="1:14" x14ac:dyDescent="0.25">
      <c r="A220" s="115"/>
      <c r="B220" s="96" t="s">
        <v>344</v>
      </c>
      <c r="E220" s="97"/>
      <c r="I220" s="96" t="s">
        <v>325</v>
      </c>
      <c r="J220" s="106"/>
      <c r="K220" s="106"/>
      <c r="L220" s="106"/>
      <c r="M220" s="106"/>
      <c r="N220" s="106"/>
    </row>
    <row r="221" spans="1:14" x14ac:dyDescent="0.25">
      <c r="A221" s="115"/>
      <c r="B221" s="96" t="s">
        <v>326</v>
      </c>
      <c r="E221" s="97"/>
      <c r="I221" s="96" t="s">
        <v>327</v>
      </c>
      <c r="J221" s="106"/>
      <c r="K221" s="106"/>
      <c r="L221" s="106"/>
      <c r="M221" s="106"/>
      <c r="N221" s="106"/>
    </row>
    <row r="222" spans="1:14" x14ac:dyDescent="0.25">
      <c r="A222" s="115"/>
      <c r="B222" s="96" t="s">
        <v>328</v>
      </c>
      <c r="E222" s="97"/>
      <c r="I222" s="96" t="s">
        <v>459</v>
      </c>
      <c r="J222" s="106"/>
      <c r="K222" s="106"/>
      <c r="L222" s="106"/>
      <c r="M222" s="106"/>
      <c r="N222" s="106"/>
    </row>
    <row r="223" spans="1:14" x14ac:dyDescent="0.25">
      <c r="A223" s="115"/>
      <c r="B223" s="96" t="s">
        <v>890</v>
      </c>
      <c r="E223" s="97"/>
      <c r="J223" s="106"/>
      <c r="K223" s="106"/>
      <c r="L223" s="106"/>
      <c r="M223" s="106"/>
      <c r="N223" s="106"/>
    </row>
    <row r="224" spans="1:14" x14ac:dyDescent="0.25">
      <c r="A224" s="68"/>
      <c r="E224" s="97"/>
    </row>
    <row r="225" spans="1:12" x14ac:dyDescent="0.25">
      <c r="A225" s="95" t="s">
        <v>369</v>
      </c>
      <c r="B225" s="481"/>
      <c r="C225" s="481"/>
      <c r="D225" s="481"/>
      <c r="E225" s="481"/>
      <c r="F225" s="481"/>
      <c r="G225" s="481"/>
      <c r="H225" s="481"/>
      <c r="I225" s="481"/>
      <c r="J225" s="481"/>
      <c r="K225" s="481"/>
      <c r="L225" s="481"/>
    </row>
    <row r="226" spans="1:12" x14ac:dyDescent="0.25">
      <c r="B226" s="482"/>
      <c r="C226" s="482"/>
      <c r="D226" s="482"/>
      <c r="E226" s="482"/>
      <c r="F226" s="482"/>
      <c r="G226" s="482"/>
      <c r="H226" s="482"/>
      <c r="I226" s="482"/>
      <c r="J226" s="482"/>
      <c r="K226" s="482"/>
      <c r="L226" s="482"/>
    </row>
    <row r="227" spans="1:12" x14ac:dyDescent="0.25">
      <c r="B227" s="117"/>
      <c r="C227" s="117"/>
      <c r="D227" s="117"/>
      <c r="E227" s="117"/>
      <c r="F227" s="117"/>
      <c r="G227" s="117"/>
      <c r="H227" s="117"/>
      <c r="I227" s="117"/>
      <c r="J227" s="117"/>
      <c r="K227" s="117"/>
      <c r="L227" s="117"/>
    </row>
    <row r="228" spans="1:12" x14ac:dyDescent="0.25">
      <c r="A228" s="118">
        <f>COUNTIF(A217:A223, "Minor")</f>
        <v>0</v>
      </c>
      <c r="B228" s="361" t="s">
        <v>382</v>
      </c>
      <c r="C228" s="361"/>
      <c r="D228" s="45" t="str">
        <f>IF(A229=0,IF(A228&gt;=3,"Major",IF(A228&gt;0,"Minor","Pass")), "Major")</f>
        <v>Pass</v>
      </c>
      <c r="E228" s="117"/>
      <c r="F228" s="117"/>
      <c r="G228" s="117"/>
      <c r="H228" s="117"/>
      <c r="I228" s="117"/>
      <c r="J228" s="117"/>
      <c r="K228" s="117"/>
      <c r="L228" s="117"/>
    </row>
    <row r="229" spans="1:12" x14ac:dyDescent="0.25">
      <c r="A229" s="118">
        <f>COUNTIF(A217:A223, "Major")</f>
        <v>0</v>
      </c>
    </row>
    <row r="230" spans="1:12" ht="20.25" x14ac:dyDescent="0.3">
      <c r="A230" s="483" t="s">
        <v>827</v>
      </c>
      <c r="B230" s="483"/>
    </row>
    <row r="231" spans="1:12" ht="20.25" x14ac:dyDescent="0.3">
      <c r="A231" s="122"/>
      <c r="B231" s="122"/>
    </row>
    <row r="232" spans="1:12" x14ac:dyDescent="0.25">
      <c r="A232" s="114"/>
      <c r="B232" s="96" t="s">
        <v>329</v>
      </c>
      <c r="E232" s="97"/>
      <c r="I232" s="96" t="s">
        <v>330</v>
      </c>
    </row>
    <row r="233" spans="1:12" x14ac:dyDescent="0.25">
      <c r="A233" s="115"/>
      <c r="B233" s="96" t="s">
        <v>331</v>
      </c>
      <c r="E233" s="97"/>
      <c r="I233" s="96" t="s">
        <v>332</v>
      </c>
    </row>
    <row r="234" spans="1:12" x14ac:dyDescent="0.25">
      <c r="A234" s="115"/>
      <c r="B234" s="96" t="s">
        <v>333</v>
      </c>
      <c r="E234" s="97"/>
      <c r="I234" s="96" t="s">
        <v>334</v>
      </c>
    </row>
    <row r="235" spans="1:12" x14ac:dyDescent="0.25">
      <c r="A235" s="115"/>
      <c r="B235" s="96" t="s">
        <v>335</v>
      </c>
      <c r="E235" s="97"/>
      <c r="I235" s="96" t="s">
        <v>336</v>
      </c>
    </row>
    <row r="236" spans="1:12" x14ac:dyDescent="0.25">
      <c r="A236" s="115"/>
      <c r="B236" s="96" t="s">
        <v>337</v>
      </c>
      <c r="E236" s="97"/>
      <c r="I236" s="96" t="s">
        <v>336</v>
      </c>
    </row>
    <row r="237" spans="1:12" x14ac:dyDescent="0.25">
      <c r="A237" s="115"/>
      <c r="B237" s="96" t="s">
        <v>338</v>
      </c>
      <c r="E237" s="97"/>
      <c r="I237" s="96" t="s">
        <v>336</v>
      </c>
    </row>
    <row r="238" spans="1:12" x14ac:dyDescent="0.25">
      <c r="A238" s="115"/>
      <c r="B238" s="96" t="s">
        <v>340</v>
      </c>
      <c r="E238" s="97"/>
      <c r="I238" s="96" t="s">
        <v>339</v>
      </c>
    </row>
    <row r="239" spans="1:12" x14ac:dyDescent="0.25">
      <c r="A239" s="115"/>
      <c r="B239" s="96" t="s">
        <v>890</v>
      </c>
      <c r="E239" s="97"/>
    </row>
    <row r="240" spans="1:12" x14ac:dyDescent="0.25">
      <c r="A240" s="68"/>
      <c r="E240" s="97"/>
    </row>
    <row r="241" spans="1:12" x14ac:dyDescent="0.25">
      <c r="A241" s="95" t="s">
        <v>369</v>
      </c>
      <c r="B241" s="481"/>
      <c r="C241" s="481"/>
      <c r="D241" s="481"/>
      <c r="E241" s="481"/>
      <c r="F241" s="481"/>
      <c r="G241" s="481"/>
      <c r="H241" s="481"/>
      <c r="I241" s="481"/>
      <c r="J241" s="481"/>
      <c r="K241" s="481"/>
      <c r="L241" s="481"/>
    </row>
    <row r="242" spans="1:12" x14ac:dyDescent="0.25">
      <c r="B242" s="482"/>
      <c r="C242" s="482"/>
      <c r="D242" s="482"/>
      <c r="E242" s="482"/>
      <c r="F242" s="482"/>
      <c r="G242" s="482"/>
      <c r="H242" s="482"/>
      <c r="I242" s="482"/>
      <c r="J242" s="482"/>
      <c r="K242" s="482"/>
      <c r="L242" s="482"/>
    </row>
    <row r="243" spans="1:12" x14ac:dyDescent="0.25">
      <c r="B243" s="117"/>
      <c r="C243" s="117"/>
      <c r="D243" s="117"/>
      <c r="E243" s="117"/>
      <c r="F243" s="117"/>
      <c r="G243" s="117"/>
      <c r="H243" s="117"/>
      <c r="I243" s="117"/>
      <c r="J243" s="117"/>
      <c r="K243" s="117"/>
      <c r="L243" s="117"/>
    </row>
    <row r="244" spans="1:12" x14ac:dyDescent="0.25">
      <c r="A244" s="118">
        <f>COUNTIF(A232:A239, "Minor")</f>
        <v>0</v>
      </c>
      <c r="B244" s="361" t="s">
        <v>382</v>
      </c>
      <c r="C244" s="361"/>
      <c r="D244" s="45" t="str">
        <f>IF(A245=0,IF(A244&gt;=3,"Major",IF(A244&gt;0,"Minor","Pass")), "Major")</f>
        <v>Pass</v>
      </c>
      <c r="E244" s="117"/>
      <c r="F244" s="117"/>
      <c r="G244" s="117"/>
      <c r="H244" s="117"/>
      <c r="I244" s="117"/>
      <c r="J244" s="117"/>
      <c r="K244" s="117"/>
      <c r="L244" s="117"/>
    </row>
    <row r="245" spans="1:12" x14ac:dyDescent="0.25">
      <c r="A245" s="118">
        <f>COUNTIF(A232:A239, "Major")</f>
        <v>0</v>
      </c>
    </row>
    <row r="246" spans="1:12" ht="20.25" x14ac:dyDescent="0.3">
      <c r="A246" s="484" t="s">
        <v>367</v>
      </c>
      <c r="B246" s="484"/>
    </row>
    <row r="247" spans="1:12" ht="20.25" x14ac:dyDescent="0.3">
      <c r="A247" s="123"/>
      <c r="B247" s="123"/>
    </row>
    <row r="248" spans="1:12" x14ac:dyDescent="0.25">
      <c r="A248" s="114"/>
      <c r="B248" s="96" t="s">
        <v>370</v>
      </c>
    </row>
    <row r="249" spans="1:12" x14ac:dyDescent="0.25">
      <c r="A249" s="115"/>
      <c r="B249" s="96" t="s">
        <v>376</v>
      </c>
    </row>
    <row r="250" spans="1:12" x14ac:dyDescent="0.25">
      <c r="A250" s="115"/>
      <c r="B250" s="96" t="s">
        <v>424</v>
      </c>
    </row>
    <row r="251" spans="1:12" x14ac:dyDescent="0.25">
      <c r="A251" s="115"/>
      <c r="B251" s="96" t="s">
        <v>15</v>
      </c>
    </row>
    <row r="252" spans="1:12" x14ac:dyDescent="0.25">
      <c r="A252" s="115"/>
      <c r="B252" s="96" t="s">
        <v>341</v>
      </c>
    </row>
    <row r="253" spans="1:12" x14ac:dyDescent="0.25">
      <c r="A253" s="115"/>
      <c r="B253" s="96" t="s">
        <v>342</v>
      </c>
      <c r="I253" s="96" t="s">
        <v>459</v>
      </c>
    </row>
    <row r="254" spans="1:12" x14ac:dyDescent="0.25">
      <c r="A254" s="115"/>
      <c r="B254" s="96" t="s">
        <v>554</v>
      </c>
    </row>
    <row r="255" spans="1:12" x14ac:dyDescent="0.25">
      <c r="A255" s="115"/>
      <c r="B255" s="96" t="s">
        <v>890</v>
      </c>
    </row>
    <row r="256" spans="1:12" x14ac:dyDescent="0.25">
      <c r="A256" s="68"/>
      <c r="E256" s="97"/>
    </row>
    <row r="257" spans="1:12" x14ac:dyDescent="0.25">
      <c r="A257" s="95" t="s">
        <v>369</v>
      </c>
      <c r="B257" s="481"/>
      <c r="C257" s="481"/>
      <c r="D257" s="481"/>
      <c r="E257" s="481"/>
      <c r="F257" s="481"/>
      <c r="G257" s="481"/>
      <c r="H257" s="481"/>
      <c r="I257" s="481"/>
      <c r="J257" s="481"/>
      <c r="K257" s="481"/>
      <c r="L257" s="481"/>
    </row>
    <row r="258" spans="1:12" x14ac:dyDescent="0.25">
      <c r="B258" s="482"/>
      <c r="C258" s="482"/>
      <c r="D258" s="482"/>
      <c r="E258" s="482"/>
      <c r="F258" s="482"/>
      <c r="G258" s="482"/>
      <c r="H258" s="482"/>
      <c r="I258" s="482"/>
      <c r="J258" s="482"/>
      <c r="K258" s="482"/>
      <c r="L258" s="482"/>
    </row>
    <row r="259" spans="1:12" x14ac:dyDescent="0.25">
      <c r="B259" s="117"/>
      <c r="C259" s="117"/>
      <c r="D259" s="117"/>
      <c r="E259" s="117"/>
      <c r="F259" s="117"/>
      <c r="G259" s="117"/>
      <c r="H259" s="117"/>
      <c r="I259" s="117"/>
      <c r="J259" s="117"/>
      <c r="K259" s="117"/>
      <c r="L259" s="117"/>
    </row>
    <row r="260" spans="1:12" x14ac:dyDescent="0.25">
      <c r="A260" s="118">
        <f>COUNTIF(A248:A255, "Minor")</f>
        <v>0</v>
      </c>
      <c r="B260" s="361" t="s">
        <v>382</v>
      </c>
      <c r="C260" s="361"/>
      <c r="D260" s="45" t="str">
        <f>IF(A261=0,IF(A260&gt;=3,"Major",IF(A260&gt;0,"Minor","Pass")), "Major")</f>
        <v>Pass</v>
      </c>
      <c r="E260" s="117"/>
      <c r="F260" s="117"/>
      <c r="G260" s="117"/>
      <c r="H260" s="117"/>
      <c r="I260" s="117"/>
      <c r="J260" s="117"/>
      <c r="K260" s="117"/>
      <c r="L260" s="117"/>
    </row>
    <row r="261" spans="1:12" x14ac:dyDescent="0.25">
      <c r="A261" s="118">
        <f>COUNTIF(A248:A255, "Major")</f>
        <v>0</v>
      </c>
    </row>
    <row r="262" spans="1:12" ht="20.25" x14ac:dyDescent="0.3">
      <c r="A262" s="483" t="s">
        <v>374</v>
      </c>
      <c r="B262" s="483"/>
    </row>
    <row r="263" spans="1:12" ht="20.25" x14ac:dyDescent="0.3">
      <c r="A263" s="122"/>
      <c r="B263" s="122"/>
    </row>
    <row r="264" spans="1:12" x14ac:dyDescent="0.25">
      <c r="A264" s="114"/>
      <c r="B264" s="96" t="s">
        <v>370</v>
      </c>
    </row>
    <row r="265" spans="1:12" x14ac:dyDescent="0.25">
      <c r="A265" s="115"/>
      <c r="B265" s="96" t="s">
        <v>375</v>
      </c>
    </row>
    <row r="266" spans="1:12" x14ac:dyDescent="0.25">
      <c r="A266" s="115"/>
      <c r="B266" s="96" t="s">
        <v>377</v>
      </c>
    </row>
    <row r="267" spans="1:12" x14ac:dyDescent="0.25">
      <c r="A267" s="115"/>
      <c r="B267" s="96" t="s">
        <v>555</v>
      </c>
    </row>
    <row r="268" spans="1:12" x14ac:dyDescent="0.25">
      <c r="A268" s="115"/>
      <c r="B268" s="96" t="s">
        <v>890</v>
      </c>
    </row>
    <row r="269" spans="1:12" x14ac:dyDescent="0.25">
      <c r="A269" s="68"/>
      <c r="E269" s="97"/>
    </row>
    <row r="270" spans="1:12" x14ac:dyDescent="0.25">
      <c r="A270" s="95" t="s">
        <v>369</v>
      </c>
      <c r="B270" s="481"/>
      <c r="C270" s="481"/>
      <c r="D270" s="481"/>
      <c r="E270" s="481"/>
      <c r="F270" s="481"/>
      <c r="G270" s="481"/>
      <c r="H270" s="481"/>
      <c r="I270" s="481"/>
      <c r="J270" s="481"/>
      <c r="K270" s="481"/>
      <c r="L270" s="481"/>
    </row>
    <row r="271" spans="1:12" x14ac:dyDescent="0.25">
      <c r="B271" s="482"/>
      <c r="C271" s="482"/>
      <c r="D271" s="482"/>
      <c r="E271" s="482"/>
      <c r="F271" s="482"/>
      <c r="G271" s="482"/>
      <c r="H271" s="482"/>
      <c r="I271" s="482"/>
      <c r="J271" s="482"/>
      <c r="K271" s="482"/>
      <c r="L271" s="482"/>
    </row>
    <row r="272" spans="1:12" x14ac:dyDescent="0.25">
      <c r="B272" s="117"/>
      <c r="C272" s="117"/>
      <c r="D272" s="117"/>
      <c r="E272" s="117"/>
      <c r="F272" s="117"/>
      <c r="G272" s="117"/>
      <c r="H272" s="117"/>
      <c r="I272" s="117"/>
      <c r="J272" s="117"/>
      <c r="K272" s="117"/>
      <c r="L272" s="117"/>
    </row>
    <row r="273" spans="1:12" x14ac:dyDescent="0.25">
      <c r="A273" s="118">
        <f>COUNTIF(A264:A268, "Minor")</f>
        <v>0</v>
      </c>
      <c r="B273" s="361" t="s">
        <v>382</v>
      </c>
      <c r="C273" s="361"/>
      <c r="D273" s="45" t="str">
        <f>IF(A274=0,IF(A273&gt;=3,"Major",IF(A273&gt;0,"Minor","Pass")), "Major")</f>
        <v>Pass</v>
      </c>
      <c r="E273" s="117"/>
      <c r="F273" s="117"/>
      <c r="G273" s="117"/>
      <c r="H273" s="117"/>
      <c r="I273" s="117"/>
      <c r="J273" s="117"/>
      <c r="K273" s="117"/>
      <c r="L273" s="117"/>
    </row>
    <row r="274" spans="1:12" x14ac:dyDescent="0.25">
      <c r="A274" s="118">
        <f>COUNTIF(A264:A268, "Major")</f>
        <v>0</v>
      </c>
    </row>
    <row r="275" spans="1:12" ht="20.25" x14ac:dyDescent="0.3">
      <c r="A275" s="483" t="s">
        <v>658</v>
      </c>
      <c r="B275" s="483"/>
    </row>
    <row r="276" spans="1:12" ht="20.25" x14ac:dyDescent="0.3">
      <c r="A276" s="122"/>
      <c r="B276" s="122"/>
    </row>
    <row r="277" spans="1:12" x14ac:dyDescent="0.25">
      <c r="A277" s="114"/>
      <c r="B277" s="96" t="s">
        <v>370</v>
      </c>
    </row>
    <row r="278" spans="1:12" x14ac:dyDescent="0.25">
      <c r="A278" s="115"/>
      <c r="B278" s="96" t="s">
        <v>371</v>
      </c>
    </row>
    <row r="279" spans="1:12" x14ac:dyDescent="0.25">
      <c r="A279" s="115"/>
      <c r="B279" s="96" t="s">
        <v>381</v>
      </c>
    </row>
    <row r="280" spans="1:12" x14ac:dyDescent="0.25">
      <c r="A280" s="115"/>
      <c r="B280" s="96" t="s">
        <v>373</v>
      </c>
    </row>
    <row r="281" spans="1:12" x14ac:dyDescent="0.25">
      <c r="A281" s="115"/>
      <c r="B281" s="96" t="s">
        <v>380</v>
      </c>
    </row>
    <row r="282" spans="1:12" x14ac:dyDescent="0.25">
      <c r="A282" s="115"/>
      <c r="B282" s="96" t="s">
        <v>425</v>
      </c>
    </row>
    <row r="283" spans="1:12" x14ac:dyDescent="0.25">
      <c r="A283" s="115"/>
      <c r="B283" s="96" t="s">
        <v>426</v>
      </c>
    </row>
    <row r="284" spans="1:12" x14ac:dyDescent="0.25">
      <c r="A284" s="115"/>
      <c r="B284" s="96" t="s">
        <v>556</v>
      </c>
    </row>
    <row r="285" spans="1:12" x14ac:dyDescent="0.25">
      <c r="A285" s="115"/>
      <c r="B285" s="96" t="s">
        <v>890</v>
      </c>
    </row>
    <row r="286" spans="1:12" x14ac:dyDescent="0.25">
      <c r="A286" s="68"/>
      <c r="B286" s="93"/>
      <c r="E286" s="97"/>
    </row>
    <row r="287" spans="1:12" x14ac:dyDescent="0.25">
      <c r="A287" s="95" t="s">
        <v>369</v>
      </c>
      <c r="B287" s="481"/>
      <c r="C287" s="481"/>
      <c r="D287" s="481"/>
      <c r="E287" s="481"/>
      <c r="F287" s="481"/>
      <c r="G287" s="481"/>
      <c r="H287" s="481"/>
      <c r="I287" s="481"/>
      <c r="J287" s="481"/>
      <c r="K287" s="481"/>
      <c r="L287" s="481"/>
    </row>
    <row r="288" spans="1:12" x14ac:dyDescent="0.25">
      <c r="B288" s="482"/>
      <c r="C288" s="482"/>
      <c r="D288" s="482"/>
      <c r="E288" s="482"/>
      <c r="F288" s="482"/>
      <c r="G288" s="482"/>
      <c r="H288" s="482"/>
      <c r="I288" s="482"/>
      <c r="J288" s="482"/>
      <c r="K288" s="482"/>
      <c r="L288" s="482"/>
    </row>
    <row r="290" spans="1:12" x14ac:dyDescent="0.25">
      <c r="A290" s="118">
        <f>COUNTIF(A277:A285, "Minor")</f>
        <v>0</v>
      </c>
      <c r="B290" s="361" t="s">
        <v>382</v>
      </c>
      <c r="C290" s="361"/>
      <c r="D290" s="45" t="str">
        <f>IF(A291=0,IF(A290&gt;=3,"Major",IF(A290&gt;0,"Minor","Pass")), "Major")</f>
        <v>Pass</v>
      </c>
      <c r="E290" s="117"/>
      <c r="F290" s="117"/>
      <c r="G290" s="117"/>
      <c r="H290" s="117"/>
      <c r="I290" s="117"/>
      <c r="J290" s="117"/>
      <c r="K290" s="117"/>
      <c r="L290" s="117"/>
    </row>
    <row r="291" spans="1:12" x14ac:dyDescent="0.25">
      <c r="A291" s="118">
        <f>COUNTIF(A277:A285, "Major")</f>
        <v>0</v>
      </c>
    </row>
    <row r="292" spans="1:12" ht="20.25" x14ac:dyDescent="0.3">
      <c r="A292" s="483" t="s">
        <v>372</v>
      </c>
      <c r="B292" s="483"/>
    </row>
    <row r="294" spans="1:12" x14ac:dyDescent="0.25">
      <c r="A294" s="114"/>
      <c r="B294" s="96" t="s">
        <v>548</v>
      </c>
    </row>
    <row r="295" spans="1:12" x14ac:dyDescent="0.25">
      <c r="A295" s="68"/>
      <c r="B295" s="93"/>
      <c r="E295" s="97"/>
    </row>
    <row r="296" spans="1:12" x14ac:dyDescent="0.25">
      <c r="A296" s="95" t="s">
        <v>369</v>
      </c>
      <c r="B296" s="481"/>
      <c r="C296" s="481"/>
      <c r="D296" s="481"/>
      <c r="E296" s="481"/>
      <c r="F296" s="481"/>
      <c r="G296" s="481"/>
      <c r="H296" s="481"/>
      <c r="I296" s="481"/>
      <c r="J296" s="481"/>
      <c r="K296" s="481"/>
      <c r="L296" s="481"/>
    </row>
    <row r="297" spans="1:12" x14ac:dyDescent="0.25">
      <c r="B297" s="482"/>
      <c r="C297" s="482"/>
      <c r="D297" s="482"/>
      <c r="E297" s="482"/>
      <c r="F297" s="482"/>
      <c r="G297" s="482"/>
      <c r="H297" s="482"/>
      <c r="I297" s="482"/>
      <c r="J297" s="482"/>
      <c r="K297" s="482"/>
      <c r="L297" s="482"/>
    </row>
    <row r="299" spans="1:12" ht="15.75" customHeight="1" x14ac:dyDescent="0.25">
      <c r="A299" s="119">
        <f>COUNTIF(A294, "No")</f>
        <v>0</v>
      </c>
      <c r="B299" s="361" t="s">
        <v>382</v>
      </c>
      <c r="C299" s="361"/>
      <c r="D299" s="45" t="str">
        <f>IF(A299=1,"Item Missing","Pass")</f>
        <v>Pass</v>
      </c>
    </row>
  </sheetData>
  <sheetProtection sheet="1" objects="1" scenarios="1"/>
  <mergeCells count="131">
    <mergeCell ref="B155:L155"/>
    <mergeCell ref="B156:L156"/>
    <mergeCell ref="B158:C158"/>
    <mergeCell ref="B169:L169"/>
    <mergeCell ref="B170:L170"/>
    <mergeCell ref="B172:C172"/>
    <mergeCell ref="A160:B160"/>
    <mergeCell ref="A88:L88"/>
    <mergeCell ref="A89:L89"/>
    <mergeCell ref="A95:L95"/>
    <mergeCell ref="B130:L130"/>
    <mergeCell ref="B131:L131"/>
    <mergeCell ref="B133:C133"/>
    <mergeCell ref="A135:B135"/>
    <mergeCell ref="A97:B97"/>
    <mergeCell ref="A174:B174"/>
    <mergeCell ref="A189:C189"/>
    <mergeCell ref="B287:L287"/>
    <mergeCell ref="B288:L288"/>
    <mergeCell ref="B290:C290"/>
    <mergeCell ref="B225:L225"/>
    <mergeCell ref="B226:L226"/>
    <mergeCell ref="B228:C228"/>
    <mergeCell ref="B241:L241"/>
    <mergeCell ref="B242:L242"/>
    <mergeCell ref="B244:C244"/>
    <mergeCell ref="B184:L184"/>
    <mergeCell ref="B185:L185"/>
    <mergeCell ref="B187:C187"/>
    <mergeCell ref="B203:L203"/>
    <mergeCell ref="B204:L204"/>
    <mergeCell ref="A215:B215"/>
    <mergeCell ref="A230:B230"/>
    <mergeCell ref="A246:B246"/>
    <mergeCell ref="A262:B262"/>
    <mergeCell ref="A275:B275"/>
    <mergeCell ref="B206:C206"/>
    <mergeCell ref="B296:L296"/>
    <mergeCell ref="B297:L297"/>
    <mergeCell ref="B299:C299"/>
    <mergeCell ref="B257:L257"/>
    <mergeCell ref="B258:L258"/>
    <mergeCell ref="B260:C260"/>
    <mergeCell ref="B270:L270"/>
    <mergeCell ref="B271:L271"/>
    <mergeCell ref="B273:C273"/>
    <mergeCell ref="A292:B292"/>
    <mergeCell ref="A83:L83"/>
    <mergeCell ref="A84:L84"/>
    <mergeCell ref="A85:L85"/>
    <mergeCell ref="A86:L86"/>
    <mergeCell ref="A87:L87"/>
    <mergeCell ref="A76:L76"/>
    <mergeCell ref="A77:L77"/>
    <mergeCell ref="A78:L78"/>
    <mergeCell ref="A79:L79"/>
    <mergeCell ref="A80:L80"/>
    <mergeCell ref="A81:L81"/>
    <mergeCell ref="A82:L82"/>
    <mergeCell ref="A68:D68"/>
    <mergeCell ref="A69:D69"/>
    <mergeCell ref="A70:D70"/>
    <mergeCell ref="C71:D71"/>
    <mergeCell ref="C72:D72"/>
    <mergeCell ref="A75:L75"/>
    <mergeCell ref="A59:E59"/>
    <mergeCell ref="G59:J59"/>
    <mergeCell ref="A63:D63"/>
    <mergeCell ref="G64:I64"/>
    <mergeCell ref="A65:D65"/>
    <mergeCell ref="C64:D64"/>
    <mergeCell ref="B55:D55"/>
    <mergeCell ref="E55:G55"/>
    <mergeCell ref="H55:I55"/>
    <mergeCell ref="J55:K55"/>
    <mergeCell ref="B56:D56"/>
    <mergeCell ref="E56:G56"/>
    <mergeCell ref="H51:I51"/>
    <mergeCell ref="J53:K53"/>
    <mergeCell ref="B54:D54"/>
    <mergeCell ref="E54:G54"/>
    <mergeCell ref="H54:I54"/>
    <mergeCell ref="J54:K54"/>
    <mergeCell ref="A30:B30"/>
    <mergeCell ref="A32:B32"/>
    <mergeCell ref="A33:B33"/>
    <mergeCell ref="C33:D33"/>
    <mergeCell ref="I34:L34"/>
    <mergeCell ref="H50:I50"/>
    <mergeCell ref="G25:K25"/>
    <mergeCell ref="G26:K26"/>
    <mergeCell ref="G27:K27"/>
    <mergeCell ref="A28:B28"/>
    <mergeCell ref="G28:K28"/>
    <mergeCell ref="G29:K29"/>
    <mergeCell ref="A16:B16"/>
    <mergeCell ref="A19:B19"/>
    <mergeCell ref="G21:L21"/>
    <mergeCell ref="G22:K22"/>
    <mergeCell ref="G23:K23"/>
    <mergeCell ref="G24:K24"/>
    <mergeCell ref="C16:D16"/>
    <mergeCell ref="A12:B12"/>
    <mergeCell ref="A13:B13"/>
    <mergeCell ref="A14:B14"/>
    <mergeCell ref="A15:B15"/>
    <mergeCell ref="C12:D12"/>
    <mergeCell ref="C13:D13"/>
    <mergeCell ref="C14:D14"/>
    <mergeCell ref="C15:D15"/>
    <mergeCell ref="G13:J13"/>
    <mergeCell ref="K13:L13"/>
    <mergeCell ref="A9:B9"/>
    <mergeCell ref="I9:J9"/>
    <mergeCell ref="K9:L9"/>
    <mergeCell ref="A10:B10"/>
    <mergeCell ref="A11:B11"/>
    <mergeCell ref="A1:L4"/>
    <mergeCell ref="A5:L5"/>
    <mergeCell ref="A7:B7"/>
    <mergeCell ref="I7:J7"/>
    <mergeCell ref="K7:L7"/>
    <mergeCell ref="A8:B8"/>
    <mergeCell ref="F7:G7"/>
    <mergeCell ref="C7:D7"/>
    <mergeCell ref="C8:D8"/>
    <mergeCell ref="C9:D9"/>
    <mergeCell ref="C10:D10"/>
    <mergeCell ref="C11:D11"/>
    <mergeCell ref="G11:J11"/>
    <mergeCell ref="K11:L11"/>
  </mergeCells>
  <phoneticPr fontId="24" type="noConversion"/>
  <conditionalFormatting sqref="A294:A295 A269 A256 A240 A286 A224 A202 A183 A168 A154 D50:D52">
    <cfRule type="cellIs" dxfId="26" priority="28" stopIfTrue="1" operator="equal">
      <formula>"no"</formula>
    </cfRule>
  </conditionalFormatting>
  <conditionalFormatting sqref="A232:A239 A248:A255 A264:A268 A277:A285 A99:A128 A137:A153 A162:A167 A176:A182 A191:A201 A217:A223">
    <cfRule type="cellIs" dxfId="25" priority="25" stopIfTrue="1" operator="equal">
      <formula>"Minor"</formula>
    </cfRule>
    <cfRule type="cellIs" dxfId="24" priority="26" stopIfTrue="1" operator="equal">
      <formula>"Major"</formula>
    </cfRule>
    <cfRule type="cellIs" dxfId="23" priority="27" stopIfTrue="1" operator="equal">
      <formula>"Pass"</formula>
    </cfRule>
  </conditionalFormatting>
  <conditionalFormatting sqref="D244 D260 D273 D290 D133 D158 D172 D187 D206 D228">
    <cfRule type="cellIs" dxfId="22" priority="22" stopIfTrue="1" operator="equal">
      <formula>"Minor"</formula>
    </cfRule>
    <cfRule type="cellIs" dxfId="21" priority="23" stopIfTrue="1" operator="equal">
      <formula>"Major"</formula>
    </cfRule>
    <cfRule type="cellIs" dxfId="20" priority="24" stopIfTrue="1" operator="equal">
      <formula>"Pass"</formula>
    </cfRule>
  </conditionalFormatting>
  <conditionalFormatting sqref="D299">
    <cfRule type="cellIs" dxfId="19" priority="20" stopIfTrue="1" operator="equal">
      <formula>"Item Missing"</formula>
    </cfRule>
    <cfRule type="cellIs" dxfId="18" priority="21" stopIfTrue="1" operator="equal">
      <formula>"Pass"</formula>
    </cfRule>
  </conditionalFormatting>
  <conditionalFormatting sqref="J35 H38 I35:I38 B57:D57">
    <cfRule type="cellIs" dxfId="17" priority="19" stopIfTrue="1" operator="equal">
      <formula>"none"</formula>
    </cfRule>
  </conditionalFormatting>
  <conditionalFormatting sqref="D30">
    <cfRule type="cellIs" dxfId="16" priority="18" stopIfTrue="1" operator="equal">
      <formula>"yes"</formula>
    </cfRule>
  </conditionalFormatting>
  <conditionalFormatting sqref="E42:E47">
    <cfRule type="cellIs" dxfId="15" priority="17" stopIfTrue="1" operator="greaterThan">
      <formula>$C$24</formula>
    </cfRule>
  </conditionalFormatting>
  <conditionalFormatting sqref="J36:J38 L36:L38">
    <cfRule type="cellIs" dxfId="14" priority="16" stopIfTrue="1" operator="lessThan">
      <formula>-3</formula>
    </cfRule>
  </conditionalFormatting>
  <conditionalFormatting sqref="C42:D47">
    <cfRule type="cellIs" dxfId="13" priority="15" stopIfTrue="1" operator="equal">
      <formula>"Fail"</formula>
    </cfRule>
  </conditionalFormatting>
  <conditionalFormatting sqref="K7:L7">
    <cfRule type="cellIs" dxfId="12" priority="12" stopIfTrue="1" operator="equal">
      <formula>"Major Corrective Action"</formula>
    </cfRule>
    <cfRule type="cellIs" dxfId="11" priority="13" stopIfTrue="1" operator="equal">
      <formula>"Minor Corrective Action"</formula>
    </cfRule>
    <cfRule type="cellIs" dxfId="10" priority="14" stopIfTrue="1" operator="equal">
      <formula>"Pass"</formula>
    </cfRule>
  </conditionalFormatting>
  <conditionalFormatting sqref="K9:L9">
    <cfRule type="cellIs" dxfId="9" priority="10" stopIfTrue="1" operator="equal">
      <formula>"Corrective Action Required"</formula>
    </cfRule>
    <cfRule type="cellIs" dxfId="8" priority="11" stopIfTrue="1" operator="equal">
      <formula>"Pass"</formula>
    </cfRule>
  </conditionalFormatting>
  <conditionalFormatting sqref="E70">
    <cfRule type="cellIs" priority="8" stopIfTrue="1" operator="equal">
      <formula>"none"</formula>
    </cfRule>
    <cfRule type="cellIs" dxfId="7" priority="9" stopIfTrue="1" operator="greaterThanOrEqual">
      <formula>1</formula>
    </cfRule>
  </conditionalFormatting>
  <conditionalFormatting sqref="B55:D56">
    <cfRule type="cellIs" dxfId="6" priority="7" stopIfTrue="1" operator="equal">
      <formula>"none"</formula>
    </cfRule>
  </conditionalFormatting>
  <conditionalFormatting sqref="E50:E52 F42:F47">
    <cfRule type="cellIs" dxfId="5" priority="6" stopIfTrue="1" operator="greaterThanOrEqual">
      <formula>100</formula>
    </cfRule>
  </conditionalFormatting>
  <conditionalFormatting sqref="F50:F52 F36:F38">
    <cfRule type="cellIs" dxfId="4" priority="5" stopIfTrue="1" operator="greaterThanOrEqual">
      <formula>35</formula>
    </cfRule>
  </conditionalFormatting>
  <conditionalFormatting sqref="G42:G47 G50:G52 G36:G38">
    <cfRule type="cellIs" dxfId="3" priority="4" stopIfTrue="1" operator="equal">
      <formula>"Fail"</formula>
    </cfRule>
  </conditionalFormatting>
  <conditionalFormatting sqref="C30">
    <cfRule type="cellIs" dxfId="2" priority="3" stopIfTrue="1" operator="equal">
      <formula>"yes"</formula>
    </cfRule>
  </conditionalFormatting>
  <conditionalFormatting sqref="B55:G56">
    <cfRule type="cellIs" dxfId="1" priority="2" stopIfTrue="1" operator="equal">
      <formula>"none"</formula>
    </cfRule>
  </conditionalFormatting>
  <conditionalFormatting sqref="E42:E47">
    <cfRule type="cellIs" dxfId="0" priority="1" operator="equal">
      <formula>"="</formula>
    </cfRule>
  </conditionalFormatting>
  <dataValidations count="11">
    <dataValidation type="list" allowBlank="1" showInputMessage="1" showErrorMessage="1" sqref="A248:A255 A217:A223 A191:A201 A176:A182 A162:A167 A137:A153 A99:A128 A277:A285 A232:A239 A264:A268">
      <formula1>_QC1</formula1>
    </dataValidation>
    <dataValidation type="list" allowBlank="1" showInputMessage="1" showErrorMessage="1" sqref="A294 K42:K47 B55:D56 C28 C30 D50:D52">
      <formula1>yesno1</formula1>
    </dataValidation>
    <dataValidation type="list" allowBlank="1" showInputMessage="1" showErrorMessage="1" sqref="E36:E38">
      <formula1>cazlimit</formula1>
    </dataValidation>
    <dataValidation type="list" allowBlank="1" showInputMessage="1" showErrorMessage="1" sqref="B42:B47 B53">
      <formula1>location</formula1>
    </dataValidation>
    <dataValidation type="list" allowBlank="1" showInputMessage="1" showErrorMessage="1" sqref="C50:C52">
      <formula1>fuel</formula1>
    </dataValidation>
    <dataValidation type="list" allowBlank="1" showInputMessage="1" showErrorMessage="1" sqref="C32">
      <formula1>gasleak</formula1>
    </dataValidation>
    <dataValidation type="list" allowBlank="1" showInputMessage="1" showErrorMessage="1" sqref="G50:G52 C42:D47 G42:G47 G36:G38">
      <formula1>passfail</formula1>
    </dataValidation>
    <dataValidation type="list" allowBlank="1" showInputMessage="1" showErrorMessage="1" sqref="B50:B52 E55:G56 B57:D57">
      <formula1>location2</formula1>
    </dataValidation>
    <dataValidation type="list" allowBlank="1" showInputMessage="1" showErrorMessage="1" sqref="I61:I62">
      <formula1>blasterring</formula1>
    </dataValidation>
    <dataValidation type="list" allowBlank="1" showInputMessage="1" showErrorMessage="1" sqref="D62">
      <formula1>ring</formula1>
    </dataValidation>
    <dataValidation type="list" allowBlank="1" showInputMessage="1" showErrorMessage="1" sqref="K11:L11">
      <formula1>qr</formula1>
    </dataValidation>
  </dataValidations>
  <pageMargins left="0.75" right="0.75" top="1" bottom="1" header="0.5" footer="0.5"/>
  <headerFooter alignWithMargins="0"/>
  <rowBreaks count="2" manualBreakCount="2">
    <brk id="90" max="16383" man="1"/>
    <brk id="208" max="12" man="1"/>
  </rowBreaks>
  <drawing r:id="rId1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137</vt:i4>
      </vt:variant>
    </vt:vector>
  </HeadingPairs>
  <TitlesOfParts>
    <vt:vector size="141" baseType="lpstr">
      <vt:lpstr>Test In</vt:lpstr>
      <vt:lpstr>Findings Report</vt:lpstr>
      <vt:lpstr>Lists</vt:lpstr>
      <vt:lpstr>Quality Review EA</vt:lpstr>
      <vt:lpstr>_QC1</vt:lpstr>
      <vt:lpstr>_ys1</vt:lpstr>
      <vt:lpstr>ac</vt:lpstr>
      <vt:lpstr>airleakage</vt:lpstr>
      <vt:lpstr>attic</vt:lpstr>
      <vt:lpstr>attic1</vt:lpstr>
      <vt:lpstr>attic2</vt:lpstr>
      <vt:lpstr>attic3</vt:lpstr>
      <vt:lpstr>attic4</vt:lpstr>
      <vt:lpstr>baseload</vt:lpstr>
      <vt:lpstr>basement</vt:lpstr>
      <vt:lpstr>basement1</vt:lpstr>
      <vt:lpstr>blasterring</vt:lpstr>
      <vt:lpstr>buffer</vt:lpstr>
      <vt:lpstr>buffer1</vt:lpstr>
      <vt:lpstr>cavity</vt:lpstr>
      <vt:lpstr>cazlimit</vt:lpstr>
      <vt:lpstr>city</vt:lpstr>
      <vt:lpstr>CO</vt:lpstr>
      <vt:lpstr>conditionspace</vt:lpstr>
      <vt:lpstr>construct</vt:lpstr>
      <vt:lpstr>construct2</vt:lpstr>
      <vt:lpstr>construction</vt:lpstr>
      <vt:lpstr>construction2</vt:lpstr>
      <vt:lpstr>contractors</vt:lpstr>
      <vt:lpstr>contractors1</vt:lpstr>
      <vt:lpstr>contractors2</vt:lpstr>
      <vt:lpstr>Contractors3</vt:lpstr>
      <vt:lpstr>cooling</vt:lpstr>
      <vt:lpstr>crawlspace</vt:lpstr>
      <vt:lpstr>crawlspace1</vt:lpstr>
      <vt:lpstr>crawlspace2</vt:lpstr>
      <vt:lpstr>crf</vt:lpstr>
      <vt:lpstr>direction</vt:lpstr>
      <vt:lpstr>direction1</vt:lpstr>
      <vt:lpstr>disconnect</vt:lpstr>
      <vt:lpstr>duct2</vt:lpstr>
      <vt:lpstr>duct3</vt:lpstr>
      <vt:lpstr>ductblaster</vt:lpstr>
      <vt:lpstr>ductdist</vt:lpstr>
      <vt:lpstr>ductdist2</vt:lpstr>
      <vt:lpstr>ductinsulate</vt:lpstr>
      <vt:lpstr>ductlocation</vt:lpstr>
      <vt:lpstr>ductlocation2</vt:lpstr>
      <vt:lpstr>ductpart</vt:lpstr>
      <vt:lpstr>ducttype</vt:lpstr>
      <vt:lpstr>ea</vt:lpstr>
      <vt:lpstr>Electricutility</vt:lpstr>
      <vt:lpstr>energyadvisor2</vt:lpstr>
      <vt:lpstr>etoshell</vt:lpstr>
      <vt:lpstr>fireplace</vt:lpstr>
      <vt:lpstr>fireplace1</vt:lpstr>
      <vt:lpstr>fireplace2</vt:lpstr>
      <vt:lpstr>fireplace3</vt:lpstr>
      <vt:lpstr>floor</vt:lpstr>
      <vt:lpstr>floor2</vt:lpstr>
      <vt:lpstr>flue</vt:lpstr>
      <vt:lpstr>flue2</vt:lpstr>
      <vt:lpstr>frame</vt:lpstr>
      <vt:lpstr>frames</vt:lpstr>
      <vt:lpstr>fuel</vt:lpstr>
      <vt:lpstr>fuel1</vt:lpstr>
      <vt:lpstr>fuel2</vt:lpstr>
      <vt:lpstr>gasleak</vt:lpstr>
      <vt:lpstr>gasutility</vt:lpstr>
      <vt:lpstr>heat</vt:lpstr>
      <vt:lpstr>heat2</vt:lpstr>
      <vt:lpstr>heating5</vt:lpstr>
      <vt:lpstr>inches</vt:lpstr>
      <vt:lpstr>inches2</vt:lpstr>
      <vt:lpstr>infiltration</vt:lpstr>
      <vt:lpstr>insulation</vt:lpstr>
      <vt:lpstr>insulation2</vt:lpstr>
      <vt:lpstr>insulationtype</vt:lpstr>
      <vt:lpstr>insulationtype2</vt:lpstr>
      <vt:lpstr>joistrafter</vt:lpstr>
      <vt:lpstr>leakiness</vt:lpstr>
      <vt:lpstr>leaky</vt:lpstr>
      <vt:lpstr>leaky3</vt:lpstr>
      <vt:lpstr>location</vt:lpstr>
      <vt:lpstr>location1</vt:lpstr>
      <vt:lpstr>location2</vt:lpstr>
      <vt:lpstr>location3</vt:lpstr>
      <vt:lpstr>location4</vt:lpstr>
      <vt:lpstr>mesh</vt:lpstr>
      <vt:lpstr>mesh1</vt:lpstr>
      <vt:lpstr>nonenergy</vt:lpstr>
      <vt:lpstr>nonenergy1</vt:lpstr>
      <vt:lpstr>nsew</vt:lpstr>
      <vt:lpstr>number</vt:lpstr>
      <vt:lpstr>numbers</vt:lpstr>
      <vt:lpstr>oe</vt:lpstr>
      <vt:lpstr>orientation</vt:lpstr>
      <vt:lpstr>pane</vt:lpstr>
      <vt:lpstr>panes</vt:lpstr>
      <vt:lpstr>passfail</vt:lpstr>
      <vt:lpstr>percent</vt:lpstr>
      <vt:lpstr>percent1</vt:lpstr>
      <vt:lpstr>pressure</vt:lpstr>
      <vt:lpstr>'Quality Review EA'!Print_Area</vt:lpstr>
      <vt:lpstr>'Test In'!Print_Area</vt:lpstr>
      <vt:lpstr>qr</vt:lpstr>
      <vt:lpstr>quality</vt:lpstr>
      <vt:lpstr>quality1</vt:lpstr>
      <vt:lpstr>quality2</vt:lpstr>
      <vt:lpstr>reduction</vt:lpstr>
      <vt:lpstr>ring</vt:lpstr>
      <vt:lpstr>rlevel</vt:lpstr>
      <vt:lpstr>roof</vt:lpstr>
      <vt:lpstr>roof2</vt:lpstr>
      <vt:lpstr>rooftype</vt:lpstr>
      <vt:lpstr>rvalue</vt:lpstr>
      <vt:lpstr>rvalue2</vt:lpstr>
      <vt:lpstr>siding</vt:lpstr>
      <vt:lpstr>siding1</vt:lpstr>
      <vt:lpstr>siding2</vt:lpstr>
      <vt:lpstr>solar</vt:lpstr>
      <vt:lpstr>stories</vt:lpstr>
      <vt:lpstr>story</vt:lpstr>
      <vt:lpstr>tank</vt:lpstr>
      <vt:lpstr>tank2</vt:lpstr>
      <vt:lpstr>type</vt:lpstr>
      <vt:lpstr>type1</vt:lpstr>
      <vt:lpstr>type2</vt:lpstr>
      <vt:lpstr>URA</vt:lpstr>
      <vt:lpstr>usage</vt:lpstr>
      <vt:lpstr>venting</vt:lpstr>
      <vt:lpstr>vents</vt:lpstr>
      <vt:lpstr>walls</vt:lpstr>
      <vt:lpstr>walls2</vt:lpstr>
      <vt:lpstr>waterheater5</vt:lpstr>
      <vt:lpstr>window</vt:lpstr>
      <vt:lpstr>Windows3</vt:lpstr>
      <vt:lpstr>windowtype</vt:lpstr>
      <vt:lpstr>yesno</vt:lpstr>
      <vt:lpstr>yesno1</vt:lpstr>
      <vt:lpstr>ys</vt:lpstr>
    </vt:vector>
  </TitlesOfParts>
  <Company>Conservation Services 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Cameron MacLean/Jason Elton</dc:creator>
  <cp:lastModifiedBy>Andrea Auerbach</cp:lastModifiedBy>
  <cp:lastPrinted>2011-12-08T22:30:21Z</cp:lastPrinted>
  <dcterms:created xsi:type="dcterms:W3CDTF">2010-02-26T23:37:39Z</dcterms:created>
  <dcterms:modified xsi:type="dcterms:W3CDTF">2013-03-30T21:43:37Z</dcterms:modified>
</cp:coreProperties>
</file>